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～ みんなの広場 ～\◆◆◆水道料金制度の見直し◆◆◆\"/>
    </mc:Choice>
  </mc:AlternateContent>
  <bookViews>
    <workbookView xWindow="0" yWindow="0" windowWidth="20130" windowHeight="70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B16" i="1" l="1"/>
  <c r="B17" i="1"/>
  <c r="D15" i="1" s="1"/>
  <c r="B18" i="1"/>
  <c r="I35" i="1" s="1"/>
  <c r="J35" i="1" l="1"/>
  <c r="E15" i="1"/>
  <c r="H15" i="1" s="1"/>
  <c r="I17" i="1"/>
  <c r="F17" i="1"/>
  <c r="J3" i="1"/>
  <c r="H26" i="1" l="1"/>
  <c r="I26" i="1" s="1"/>
  <c r="H36" i="1"/>
  <c r="I36" i="1" s="1"/>
  <c r="H40" i="1"/>
  <c r="I40" i="1" s="1"/>
  <c r="H44" i="1"/>
  <c r="I44" i="1" s="1"/>
  <c r="H24" i="1"/>
  <c r="I24" i="1" s="1"/>
  <c r="H19" i="1"/>
  <c r="I19" i="1" s="1"/>
  <c r="H21" i="1"/>
  <c r="I21" i="1" s="1"/>
  <c r="H23" i="1"/>
  <c r="I23" i="1" s="1"/>
  <c r="H27" i="1"/>
  <c r="I27" i="1" s="1"/>
  <c r="H37" i="1"/>
  <c r="I37" i="1" s="1"/>
  <c r="H41" i="1"/>
  <c r="I41" i="1" s="1"/>
  <c r="H45" i="1"/>
  <c r="I45" i="1" s="1"/>
  <c r="H28" i="1"/>
  <c r="I28" i="1" s="1"/>
  <c r="H38" i="1"/>
  <c r="I38" i="1" s="1"/>
  <c r="H18" i="1"/>
  <c r="I18" i="1" s="1"/>
  <c r="H39" i="1"/>
  <c r="I39" i="1" s="1"/>
  <c r="H43" i="1"/>
  <c r="I43" i="1" s="1"/>
  <c r="H22" i="1"/>
  <c r="I22" i="1" s="1"/>
  <c r="H25" i="1"/>
  <c r="I25" i="1" s="1"/>
  <c r="H42" i="1"/>
  <c r="I42" i="1" s="1"/>
  <c r="H20" i="1"/>
  <c r="I20" i="1" s="1"/>
  <c r="H29" i="1"/>
  <c r="I29" i="1" s="1"/>
  <c r="J17" i="1"/>
  <c r="B19" i="1" s="1"/>
  <c r="E24" i="1"/>
  <c r="F24" i="1" s="1"/>
  <c r="E28" i="1"/>
  <c r="F28" i="1" s="1"/>
  <c r="J28" i="1" s="1"/>
  <c r="E38" i="1"/>
  <c r="F38" i="1" s="1"/>
  <c r="J38" i="1" s="1"/>
  <c r="E42" i="1"/>
  <c r="F42" i="1" s="1"/>
  <c r="E26" i="1"/>
  <c r="F26" i="1" s="1"/>
  <c r="E18" i="1"/>
  <c r="F18" i="1" s="1"/>
  <c r="E20" i="1"/>
  <c r="F20" i="1" s="1"/>
  <c r="E22" i="1"/>
  <c r="F22" i="1" s="1"/>
  <c r="J22" i="1" s="1"/>
  <c r="E25" i="1"/>
  <c r="F25" i="1" s="1"/>
  <c r="E29" i="1"/>
  <c r="F29" i="1" s="1"/>
  <c r="J29" i="1" s="1"/>
  <c r="E39" i="1"/>
  <c r="F39" i="1" s="1"/>
  <c r="E43" i="1"/>
  <c r="F43" i="1" s="1"/>
  <c r="E36" i="1"/>
  <c r="F36" i="1" s="1"/>
  <c r="E21" i="1"/>
  <c r="F21" i="1" s="1"/>
  <c r="E27" i="1"/>
  <c r="F27" i="1" s="1"/>
  <c r="E19" i="1"/>
  <c r="F19" i="1" s="1"/>
  <c r="J19" i="1" s="1"/>
  <c r="E37" i="1"/>
  <c r="F37" i="1" s="1"/>
  <c r="J37" i="1" s="1"/>
  <c r="E40" i="1"/>
  <c r="F40" i="1" s="1"/>
  <c r="J40" i="1" s="1"/>
  <c r="E45" i="1"/>
  <c r="F45" i="1" s="1"/>
  <c r="E44" i="1"/>
  <c r="F44" i="1" s="1"/>
  <c r="E23" i="1"/>
  <c r="F23" i="1" s="1"/>
  <c r="E41" i="1"/>
  <c r="F41" i="1" s="1"/>
  <c r="J41" i="1" s="1"/>
  <c r="J26" i="1" l="1"/>
  <c r="J24" i="1"/>
  <c r="J43" i="1"/>
  <c r="J27" i="1"/>
  <c r="J20" i="1"/>
  <c r="J21" i="1"/>
  <c r="J18" i="1"/>
  <c r="I30" i="1"/>
  <c r="I31" i="1" s="1"/>
  <c r="I32" i="1" s="1"/>
  <c r="J45" i="1"/>
  <c r="J39" i="1"/>
  <c r="F30" i="1"/>
  <c r="J23" i="1"/>
  <c r="J36" i="1"/>
  <c r="F46" i="1"/>
  <c r="J25" i="1"/>
  <c r="I46" i="1"/>
  <c r="J44" i="1"/>
  <c r="J42" i="1"/>
  <c r="F3" i="1"/>
  <c r="B20" i="1" l="1"/>
  <c r="B21" i="1" s="1"/>
  <c r="I47" i="1"/>
  <c r="I48" i="1" s="1"/>
  <c r="J30" i="1"/>
  <c r="F31" i="1"/>
  <c r="J31" i="1" s="1"/>
  <c r="J46" i="1"/>
  <c r="F47" i="1"/>
  <c r="F48" i="1" s="1"/>
  <c r="J4" i="1"/>
  <c r="J5" i="1" s="1"/>
  <c r="F4" i="1"/>
  <c r="F5" i="1" s="1"/>
  <c r="B22" i="1" l="1"/>
  <c r="B23" i="1" s="1"/>
  <c r="F6" i="1"/>
  <c r="J48" i="1"/>
  <c r="J47" i="1"/>
  <c r="F32" i="1"/>
  <c r="J32" i="1" s="1"/>
  <c r="F7" i="1" l="1"/>
  <c r="J6" i="1"/>
  <c r="J7" i="1" s="1"/>
  <c r="J9" i="1" l="1"/>
</calcChain>
</file>

<file path=xl/sharedStrings.xml><?xml version="1.0" encoding="utf-8"?>
<sst xmlns="http://schemas.openxmlformats.org/spreadsheetml/2006/main" count="80" uniqueCount="42">
  <si>
    <t>有</t>
  </si>
  <si>
    <t>～30</t>
  </si>
  <si>
    <t>税抜</t>
  </si>
  <si>
    <t>税込</t>
  </si>
  <si>
    <t>水道料金等計算表</t>
    <rPh sb="0" eb="2">
      <t>スイドウ</t>
    </rPh>
    <rPh sb="2" eb="4">
      <t>リョウキン</t>
    </rPh>
    <rPh sb="4" eb="5">
      <t>トウ</t>
    </rPh>
    <rPh sb="5" eb="7">
      <t>ケイサン</t>
    </rPh>
    <rPh sb="7" eb="8">
      <t>ヒョウ</t>
    </rPh>
    <phoneticPr fontId="4"/>
  </si>
  <si>
    <t>水道料金</t>
    <rPh sb="0" eb="2">
      <t>スイドウ</t>
    </rPh>
    <rPh sb="2" eb="4">
      <t>リョウキン</t>
    </rPh>
    <phoneticPr fontId="4"/>
  </si>
  <si>
    <t>下水道使用料</t>
    <rPh sb="0" eb="3">
      <t>ゲスイドウ</t>
    </rPh>
    <rPh sb="3" eb="6">
      <t>シヨウリョウ</t>
    </rPh>
    <phoneticPr fontId="4"/>
  </si>
  <si>
    <t>検針周期</t>
    <rPh sb="0" eb="2">
      <t>ケンシン</t>
    </rPh>
    <rPh sb="2" eb="4">
      <t>シュウキ</t>
    </rPh>
    <phoneticPr fontId="4"/>
  </si>
  <si>
    <t>ヵ月</t>
    <rPh sb="1" eb="2">
      <t>ゲツ</t>
    </rPh>
    <phoneticPr fontId="4"/>
  </si>
  <si>
    <t>基本料金</t>
    <rPh sb="0" eb="2">
      <t>キホン</t>
    </rPh>
    <rPh sb="2" eb="4">
      <t>リョウキン</t>
    </rPh>
    <phoneticPr fontId="4"/>
  </si>
  <si>
    <t>円</t>
    <rPh sb="0" eb="1">
      <t>エン</t>
    </rPh>
    <phoneticPr fontId="4"/>
  </si>
  <si>
    <t>口径</t>
    <rPh sb="0" eb="2">
      <t>コウケイ</t>
    </rPh>
    <phoneticPr fontId="4"/>
  </si>
  <si>
    <t>㎜</t>
    <phoneticPr fontId="4"/>
  </si>
  <si>
    <t>従量料金</t>
    <rPh sb="0" eb="2">
      <t>ジュウリョウ</t>
    </rPh>
    <rPh sb="2" eb="4">
      <t>リョウキン</t>
    </rPh>
    <phoneticPr fontId="4"/>
  </si>
  <si>
    <t>水量</t>
    <rPh sb="0" eb="2">
      <t>スイリョウ</t>
    </rPh>
    <phoneticPr fontId="4"/>
  </si>
  <si>
    <t>計</t>
    <rPh sb="0" eb="1">
      <t>ケイ</t>
    </rPh>
    <phoneticPr fontId="4"/>
  </si>
  <si>
    <t>公共下水</t>
    <rPh sb="0" eb="2">
      <t>コウキョウ</t>
    </rPh>
    <rPh sb="2" eb="4">
      <t>ゲスイ</t>
    </rPh>
    <phoneticPr fontId="4"/>
  </si>
  <si>
    <t>消費税</t>
    <rPh sb="0" eb="3">
      <t>ショウヒゼイ</t>
    </rPh>
    <phoneticPr fontId="4"/>
  </si>
  <si>
    <t>毎月検針は１ヵ月、隔月検針は２ヵ月と入力する。</t>
    <rPh sb="0" eb="2">
      <t>マイツキ</t>
    </rPh>
    <rPh sb="2" eb="4">
      <t>ケンシン</t>
    </rPh>
    <rPh sb="7" eb="8">
      <t>ゲツ</t>
    </rPh>
    <rPh sb="9" eb="11">
      <t>カクゲツ</t>
    </rPh>
    <rPh sb="11" eb="13">
      <t>ケンシン</t>
    </rPh>
    <rPh sb="16" eb="17">
      <t>ゲツ</t>
    </rPh>
    <rPh sb="18" eb="20">
      <t>ニュウリョク</t>
    </rPh>
    <phoneticPr fontId="4"/>
  </si>
  <si>
    <t>合計金額</t>
    <rPh sb="0" eb="2">
      <t>ゴウケイ</t>
    </rPh>
    <rPh sb="2" eb="4">
      <t>キンガク</t>
    </rPh>
    <phoneticPr fontId="4"/>
  </si>
  <si>
    <t>水道メーターの口径を入力</t>
    <rPh sb="0" eb="2">
      <t>スイドウ</t>
    </rPh>
    <rPh sb="7" eb="9">
      <t>コウケイ</t>
    </rPh>
    <rPh sb="10" eb="12">
      <t>ニュウリョク</t>
    </rPh>
    <phoneticPr fontId="4"/>
  </si>
  <si>
    <t>料金を試算する水量</t>
    <rPh sb="0" eb="2">
      <t>リョウキン</t>
    </rPh>
    <rPh sb="3" eb="5">
      <t>シサン</t>
    </rPh>
    <rPh sb="7" eb="9">
      <t>スイリョウ</t>
    </rPh>
    <phoneticPr fontId="4"/>
  </si>
  <si>
    <t>公共下水道の使用の有無を入力</t>
    <rPh sb="0" eb="5">
      <t>コウキョウゲスイドウ</t>
    </rPh>
    <rPh sb="6" eb="8">
      <t>シヨウ</t>
    </rPh>
    <rPh sb="9" eb="11">
      <t>ウム</t>
    </rPh>
    <rPh sb="12" eb="14">
      <t>ニュウリョク</t>
    </rPh>
    <phoneticPr fontId="4"/>
  </si>
  <si>
    <t>～100</t>
    <phoneticPr fontId="4"/>
  </si>
  <si>
    <t>3000～</t>
    <phoneticPr fontId="4"/>
  </si>
  <si>
    <t>単価</t>
    <rPh sb="0" eb="2">
      <t>タンカ</t>
    </rPh>
    <phoneticPr fontId="4"/>
  </si>
  <si>
    <t>基本</t>
    <rPh sb="0" eb="2">
      <t>キホン</t>
    </rPh>
    <phoneticPr fontId="4"/>
  </si>
  <si>
    <t>超過</t>
    <rPh sb="0" eb="2">
      <t>チョウカ</t>
    </rPh>
    <phoneticPr fontId="4"/>
  </si>
  <si>
    <t>下水</t>
    <rPh sb="0" eb="2">
      <t>ゲスイ</t>
    </rPh>
    <phoneticPr fontId="4"/>
  </si>
  <si>
    <t>.</t>
    <phoneticPr fontId="4"/>
  </si>
  <si>
    <t>～8</t>
    <phoneticPr fontId="4"/>
  </si>
  <si>
    <t>～20</t>
    <phoneticPr fontId="4"/>
  </si>
  <si>
    <t>～200</t>
    <phoneticPr fontId="4"/>
  </si>
  <si>
    <t>～300</t>
    <phoneticPr fontId="4"/>
  </si>
  <si>
    <t>3000～</t>
    <phoneticPr fontId="4"/>
  </si>
  <si>
    <t>～10</t>
    <phoneticPr fontId="4"/>
  </si>
  <si>
    <t>～50</t>
    <phoneticPr fontId="4"/>
  </si>
  <si>
    <t>～500</t>
    <phoneticPr fontId="4"/>
  </si>
  <si>
    <t>～1000</t>
    <phoneticPr fontId="4"/>
  </si>
  <si>
    <t>～3000</t>
    <phoneticPr fontId="4"/>
  </si>
  <si>
    <t>1000～</t>
    <phoneticPr fontId="4"/>
  </si>
  <si>
    <t>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</si>
</sst>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 applyProtection="1">
      <protection locked="0"/>
    </xf>
    <xf numFmtId="0" fontId="2" fillId="0" borderId="2" xfId="0" applyFont="1" applyBorder="1" applyAlignment="1">
      <alignment horizontal="right"/>
    </xf>
    <xf numFmtId="38" fontId="2" fillId="0" borderId="3" xfId="1" applyFont="1" applyBorder="1" applyAlignment="1" applyProtection="1"/>
    <xf numFmtId="0" fontId="2" fillId="0" borderId="0" xfId="0" applyFont="1" applyFill="1" applyBorder="1" applyAlignment="1"/>
    <xf numFmtId="38" fontId="2" fillId="0" borderId="3" xfId="1" applyFont="1" applyBorder="1" applyAlignment="1"/>
    <xf numFmtId="0" fontId="2" fillId="0" borderId="4" xfId="0" applyFont="1" applyBorder="1" applyAlignment="1">
      <alignment horizontal="right"/>
    </xf>
    <xf numFmtId="38" fontId="2" fillId="0" borderId="1" xfId="1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38" fontId="2" fillId="0" borderId="4" xfId="1" applyFont="1" applyBorder="1" applyAlignment="1"/>
    <xf numFmtId="38" fontId="2" fillId="2" borderId="3" xfId="0" applyNumberFormat="1" applyFont="1" applyFill="1" applyBorder="1" applyAlignment="1"/>
    <xf numFmtId="38" fontId="0" fillId="0" borderId="0" xfId="1" applyFont="1" applyAlignment="1"/>
    <xf numFmtId="38" fontId="2" fillId="3" borderId="3" xfId="0" applyNumberFormat="1" applyFont="1" applyFill="1" applyBorder="1" applyAlignment="1"/>
    <xf numFmtId="0" fontId="0" fillId="0" borderId="0" xfId="0" applyAlignment="1">
      <alignment vertical="center"/>
    </xf>
    <xf numFmtId="38" fontId="2" fillId="4" borderId="3" xfId="0" applyNumberFormat="1" applyFont="1" applyFill="1" applyBorder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vertical="center"/>
    </xf>
    <xf numFmtId="38" fontId="5" fillId="0" borderId="0" xfId="1" applyFont="1" applyAlignment="1"/>
    <xf numFmtId="0" fontId="5" fillId="0" borderId="0" xfId="0" applyFont="1" applyAlignment="1">
      <alignment horizontal="center" vertical="center"/>
    </xf>
    <xf numFmtId="38" fontId="5" fillId="0" borderId="0" xfId="0" applyNumberFormat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8"/>
  <sheetViews>
    <sheetView tabSelected="1" zoomScaleNormal="100" workbookViewId="0">
      <selection activeCell="B3" sqref="B3"/>
    </sheetView>
  </sheetViews>
  <sheetFormatPr defaultRowHeight="18.75" x14ac:dyDescent="0.4"/>
  <cols>
    <col min="1" max="1" width="11.625" style="2" bestFit="1" customWidth="1"/>
    <col min="2" max="2" width="12.625" style="2" customWidth="1"/>
    <col min="3" max="3" width="6.625" style="2" customWidth="1"/>
    <col min="4" max="4" width="8.625" style="4" customWidth="1"/>
    <col min="5" max="5" width="11.625" style="4" bestFit="1" customWidth="1"/>
    <col min="6" max="6" width="20.625" style="4" customWidth="1"/>
    <col min="7" max="7" width="4.375" style="4" bestFit="1" customWidth="1"/>
    <col min="8" max="8" width="8.625" style="4" customWidth="1"/>
    <col min="9" max="9" width="12.875" style="4" customWidth="1"/>
    <col min="10" max="10" width="20.625" style="4" customWidth="1"/>
    <col min="11" max="11" width="4.375" style="4" bestFit="1" customWidth="1"/>
    <col min="12" max="12" width="6.25" style="4" bestFit="1" customWidth="1"/>
    <col min="13" max="13" width="13.625" style="4" bestFit="1" customWidth="1"/>
    <col min="14" max="14" width="6" style="4" bestFit="1" customWidth="1"/>
    <col min="15" max="18" width="6.75" style="4" bestFit="1" customWidth="1"/>
    <col min="19" max="22" width="8.25" style="4" bestFit="1" customWidth="1"/>
    <col min="23" max="24" width="9.75" style="4" bestFit="1" customWidth="1"/>
    <col min="25" max="25" width="9.75" style="2" bestFit="1" customWidth="1"/>
    <col min="26" max="28" width="6.375" style="2" bestFit="1" customWidth="1"/>
    <col min="29" max="32" width="7.75" style="2" bestFit="1" customWidth="1"/>
    <col min="33" max="35" width="9.125" style="2" bestFit="1" customWidth="1"/>
    <col min="36" max="16384" width="9" style="2"/>
  </cols>
  <sheetData>
    <row r="1" spans="1:25" ht="27" customHeight="1" x14ac:dyDescent="0.4">
      <c r="A1" s="1" t="s">
        <v>4</v>
      </c>
      <c r="D1" s="3"/>
    </row>
    <row r="2" spans="1:25" ht="27" customHeight="1" thickBot="1" x14ac:dyDescent="0.45">
      <c r="B2" s="1"/>
      <c r="C2" s="1"/>
      <c r="E2" s="3" t="s">
        <v>5</v>
      </c>
      <c r="I2" s="1" t="s">
        <v>6</v>
      </c>
    </row>
    <row r="3" spans="1:25" ht="27" customHeight="1" thickBot="1" x14ac:dyDescent="0.45">
      <c r="A3" s="5" t="s">
        <v>7</v>
      </c>
      <c r="B3" s="6">
        <v>1</v>
      </c>
      <c r="C3" s="1" t="s">
        <v>8</v>
      </c>
      <c r="E3" s="7" t="s">
        <v>9</v>
      </c>
      <c r="F3" s="8">
        <f>J17</f>
        <v>27051</v>
      </c>
      <c r="G3" s="9" t="s">
        <v>10</v>
      </c>
      <c r="I3" s="7" t="s">
        <v>9</v>
      </c>
      <c r="J3" s="10">
        <f>IF(B6="有",J35,0)</f>
        <v>768</v>
      </c>
      <c r="K3" s="9" t="s">
        <v>10</v>
      </c>
      <c r="X3" s="2"/>
    </row>
    <row r="4" spans="1:25" ht="27" customHeight="1" thickBot="1" x14ac:dyDescent="0.45">
      <c r="A4" s="5" t="s">
        <v>11</v>
      </c>
      <c r="B4" s="6">
        <v>75</v>
      </c>
      <c r="C4" s="1" t="s">
        <v>12</v>
      </c>
      <c r="E4" s="11" t="s">
        <v>13</v>
      </c>
      <c r="F4" s="10">
        <f>SUM(J18:J29)</f>
        <v>142728</v>
      </c>
      <c r="G4" s="9" t="s">
        <v>10</v>
      </c>
      <c r="I4" s="11" t="s">
        <v>13</v>
      </c>
      <c r="J4" s="10">
        <f>IF(B6="有",SUM(J36:J45),0)</f>
        <v>157574</v>
      </c>
      <c r="K4" s="9" t="s">
        <v>10</v>
      </c>
      <c r="X4" s="2"/>
    </row>
    <row r="5" spans="1:25" ht="27" customHeight="1" thickBot="1" x14ac:dyDescent="0.45">
      <c r="A5" s="5" t="s">
        <v>14</v>
      </c>
      <c r="B5" s="12">
        <v>564</v>
      </c>
      <c r="C5" s="1" t="s">
        <v>41</v>
      </c>
      <c r="E5" s="11" t="s">
        <v>15</v>
      </c>
      <c r="F5" s="10">
        <f>SUM(F3:F4)</f>
        <v>169779</v>
      </c>
      <c r="G5" s="9" t="s">
        <v>10</v>
      </c>
      <c r="I5" s="11" t="s">
        <v>15</v>
      </c>
      <c r="J5" s="10">
        <f>SUM(J3:J4)</f>
        <v>158342</v>
      </c>
      <c r="K5" s="9" t="s">
        <v>10</v>
      </c>
      <c r="X5" s="2"/>
    </row>
    <row r="6" spans="1:25" ht="27" customHeight="1" thickBot="1" x14ac:dyDescent="0.45">
      <c r="A6" s="5" t="s">
        <v>16</v>
      </c>
      <c r="B6" s="13" t="s">
        <v>0</v>
      </c>
      <c r="C6" s="1"/>
      <c r="E6" s="11" t="s">
        <v>17</v>
      </c>
      <c r="F6" s="14">
        <f>J31</f>
        <v>16977</v>
      </c>
      <c r="G6" s="9" t="s">
        <v>10</v>
      </c>
      <c r="I6" s="11" t="s">
        <v>17</v>
      </c>
      <c r="J6" s="14">
        <f>IF(B6="有",J47,0)</f>
        <v>15834</v>
      </c>
      <c r="K6" s="9" t="s">
        <v>10</v>
      </c>
      <c r="X6" s="2"/>
    </row>
    <row r="7" spans="1:25" ht="27" customHeight="1" x14ac:dyDescent="0.4">
      <c r="A7" s="5"/>
      <c r="E7" s="11" t="s">
        <v>5</v>
      </c>
      <c r="F7" s="15">
        <f>SUM(F5:F6)</f>
        <v>186756</v>
      </c>
      <c r="G7" s="9" t="s">
        <v>10</v>
      </c>
      <c r="I7" s="11" t="s">
        <v>6</v>
      </c>
      <c r="J7" s="17">
        <f>SUM(J5:J6)</f>
        <v>174176</v>
      </c>
      <c r="K7" s="9" t="s">
        <v>10</v>
      </c>
      <c r="X7" s="2"/>
    </row>
    <row r="8" spans="1:25" ht="27" customHeight="1" x14ac:dyDescent="0.4">
      <c r="J8" s="16"/>
      <c r="K8" s="16"/>
    </row>
    <row r="9" spans="1:25" ht="27" customHeight="1" x14ac:dyDescent="0.4">
      <c r="A9" s="21" t="s">
        <v>7</v>
      </c>
      <c r="B9" s="22" t="s">
        <v>18</v>
      </c>
      <c r="I9" s="3" t="s">
        <v>19</v>
      </c>
      <c r="J9" s="19">
        <f>F7+J7</f>
        <v>360932</v>
      </c>
      <c r="K9" s="9" t="s">
        <v>10</v>
      </c>
    </row>
    <row r="10" spans="1:25" ht="27" customHeight="1" x14ac:dyDescent="0.4">
      <c r="A10" s="21" t="s">
        <v>11</v>
      </c>
      <c r="B10" s="22" t="s">
        <v>20</v>
      </c>
    </row>
    <row r="11" spans="1:25" ht="27" customHeight="1" x14ac:dyDescent="0.4">
      <c r="A11" s="21" t="s">
        <v>14</v>
      </c>
      <c r="B11" s="22" t="s">
        <v>21</v>
      </c>
    </row>
    <row r="12" spans="1:25" ht="27" customHeight="1" x14ac:dyDescent="0.4">
      <c r="A12" s="21" t="s">
        <v>16</v>
      </c>
      <c r="B12" s="23" t="s">
        <v>22</v>
      </c>
    </row>
    <row r="13" spans="1:25" x14ac:dyDescent="0.4">
      <c r="B13" s="18"/>
      <c r="C13" s="16"/>
      <c r="J13" s="16"/>
      <c r="K13" s="16"/>
      <c r="M13" s="16"/>
      <c r="O13" s="16"/>
      <c r="Q13" s="16"/>
      <c r="S13" s="16"/>
      <c r="U13" s="16"/>
      <c r="W13" s="16"/>
      <c r="Y13" s="16"/>
    </row>
    <row r="14" spans="1:25" x14ac:dyDescent="0.4">
      <c r="A14" s="23"/>
      <c r="B14" s="24"/>
      <c r="C14" s="25"/>
      <c r="D14" s="21"/>
      <c r="E14" s="23"/>
      <c r="F14" s="21"/>
      <c r="G14" s="25"/>
      <c r="H14" s="21"/>
      <c r="I14" s="21"/>
      <c r="J14" s="25"/>
      <c r="K14" s="25"/>
      <c r="L14" s="21"/>
      <c r="M14" s="25"/>
      <c r="N14" s="21"/>
      <c r="O14" s="25"/>
      <c r="P14" s="21"/>
      <c r="Q14" s="25"/>
      <c r="R14" s="21"/>
      <c r="S14" s="25"/>
      <c r="T14" s="21"/>
      <c r="U14" s="25"/>
      <c r="V14" s="21"/>
      <c r="W14" s="25"/>
      <c r="X14" s="21"/>
      <c r="Y14" s="25"/>
    </row>
    <row r="15" spans="1:25" hidden="1" x14ac:dyDescent="0.4">
      <c r="A15" s="23"/>
      <c r="B15" s="23"/>
      <c r="C15" s="23"/>
      <c r="D15" s="25">
        <f>B17</f>
        <v>564</v>
      </c>
      <c r="E15" s="25">
        <f>ROUNDUP(D15/B18,0)</f>
        <v>564</v>
      </c>
      <c r="F15" s="25"/>
      <c r="G15" s="25"/>
      <c r="H15" s="25">
        <f>D15-E15</f>
        <v>0</v>
      </c>
      <c r="I15" s="2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"/>
    </row>
    <row r="16" spans="1:25" hidden="1" x14ac:dyDescent="0.4">
      <c r="A16" s="20" t="s">
        <v>11</v>
      </c>
      <c r="B16" s="23">
        <f>B4</f>
        <v>75</v>
      </c>
      <c r="C16" s="23"/>
      <c r="D16" s="21"/>
      <c r="E16" s="21"/>
      <c r="F16" s="25" t="s">
        <v>29</v>
      </c>
      <c r="G16" s="25"/>
      <c r="H16" s="25"/>
      <c r="I16" s="25"/>
      <c r="J16" s="25"/>
      <c r="K16" s="25"/>
      <c r="L16" s="23"/>
      <c r="M16" s="23"/>
      <c r="N16" s="21" t="s">
        <v>30</v>
      </c>
      <c r="O16" s="21" t="s">
        <v>35</v>
      </c>
      <c r="P16" s="21" t="s">
        <v>31</v>
      </c>
      <c r="Q16" s="21" t="s">
        <v>1</v>
      </c>
      <c r="R16" s="21" t="s">
        <v>36</v>
      </c>
      <c r="S16" s="21" t="s">
        <v>23</v>
      </c>
      <c r="T16" s="21" t="s">
        <v>32</v>
      </c>
      <c r="U16" s="21" t="s">
        <v>33</v>
      </c>
      <c r="V16" s="21" t="s">
        <v>37</v>
      </c>
      <c r="W16" s="21" t="s">
        <v>38</v>
      </c>
      <c r="X16" s="21" t="s">
        <v>39</v>
      </c>
      <c r="Y16" s="21" t="s">
        <v>24</v>
      </c>
    </row>
    <row r="17" spans="1:25" hidden="1" x14ac:dyDescent="0.4">
      <c r="A17" s="20" t="s">
        <v>14</v>
      </c>
      <c r="B17" s="23">
        <f>B5</f>
        <v>564</v>
      </c>
      <c r="C17" s="23"/>
      <c r="D17" s="21"/>
      <c r="E17" s="21"/>
      <c r="F17" s="25">
        <f>VLOOKUP($B$16,$L$18:$Y$25,2,FALSE)</f>
        <v>27051</v>
      </c>
      <c r="G17" s="21"/>
      <c r="H17" s="25"/>
      <c r="I17" s="25">
        <f>IF(B18=2,VLOOKUP($B$16,$L$18:$Y$25,2,FALSE),0)</f>
        <v>0</v>
      </c>
      <c r="J17" s="25">
        <f t="shared" ref="J17:J32" si="0">F17+I17</f>
        <v>27051</v>
      </c>
      <c r="K17" s="23"/>
      <c r="L17" s="26" t="s">
        <v>11</v>
      </c>
      <c r="M17" s="21" t="s">
        <v>9</v>
      </c>
      <c r="N17" s="21" t="s">
        <v>25</v>
      </c>
      <c r="O17" s="21" t="s">
        <v>25</v>
      </c>
      <c r="P17" s="21" t="s">
        <v>25</v>
      </c>
      <c r="Q17" s="21" t="s">
        <v>25</v>
      </c>
      <c r="R17" s="21" t="s">
        <v>25</v>
      </c>
      <c r="S17" s="21" t="s">
        <v>25</v>
      </c>
      <c r="T17" s="21" t="s">
        <v>25</v>
      </c>
      <c r="U17" s="21" t="s">
        <v>25</v>
      </c>
      <c r="V17" s="21" t="s">
        <v>25</v>
      </c>
      <c r="W17" s="21" t="s">
        <v>25</v>
      </c>
      <c r="X17" s="21" t="s">
        <v>25</v>
      </c>
      <c r="Y17" s="21" t="s">
        <v>25</v>
      </c>
    </row>
    <row r="18" spans="1:25" hidden="1" x14ac:dyDescent="0.4">
      <c r="A18" s="20" t="s">
        <v>7</v>
      </c>
      <c r="B18" s="23">
        <f>B3</f>
        <v>1</v>
      </c>
      <c r="C18" s="23"/>
      <c r="D18" s="20">
        <v>8</v>
      </c>
      <c r="E18" s="25">
        <f>IF($E$15&gt;D18,D18,$E$15)</f>
        <v>8</v>
      </c>
      <c r="F18" s="25">
        <f>E18*VLOOKUP($B$16,$L$18:$Y$25,3,FALSE)</f>
        <v>696</v>
      </c>
      <c r="G18" s="25"/>
      <c r="H18" s="25">
        <f>IF($H$15&gt;D18,D18,$H$15)</f>
        <v>0</v>
      </c>
      <c r="I18" s="25">
        <f>H18*VLOOKUP($B$16,$L$18:$Y$25,3,FALSE)</f>
        <v>0</v>
      </c>
      <c r="J18" s="25">
        <f t="shared" si="0"/>
        <v>696</v>
      </c>
      <c r="K18" s="23"/>
      <c r="L18" s="24">
        <v>13</v>
      </c>
      <c r="M18" s="25">
        <v>660</v>
      </c>
      <c r="N18" s="21">
        <v>4</v>
      </c>
      <c r="O18" s="21">
        <v>105</v>
      </c>
      <c r="P18" s="21">
        <v>118</v>
      </c>
      <c r="Q18" s="21">
        <v>141</v>
      </c>
      <c r="R18" s="21">
        <v>179</v>
      </c>
      <c r="S18" s="21">
        <v>249</v>
      </c>
      <c r="T18" s="21">
        <v>257</v>
      </c>
      <c r="U18" s="21">
        <v>293</v>
      </c>
      <c r="V18" s="21">
        <v>293</v>
      </c>
      <c r="W18" s="21">
        <v>335</v>
      </c>
      <c r="X18" s="21">
        <v>335</v>
      </c>
      <c r="Y18" s="21">
        <v>335</v>
      </c>
    </row>
    <row r="19" spans="1:25" hidden="1" x14ac:dyDescent="0.4">
      <c r="A19" s="20" t="s">
        <v>26</v>
      </c>
      <c r="B19" s="25">
        <f>J17</f>
        <v>27051</v>
      </c>
      <c r="C19" s="23"/>
      <c r="D19" s="20">
        <v>10</v>
      </c>
      <c r="E19" s="25">
        <f t="shared" ref="E19:E28" si="1">IF($E$15&gt;D18,IF($E$15&gt;D19,D19-D18,$E$15-D18),0)</f>
        <v>2</v>
      </c>
      <c r="F19" s="25">
        <f>E19*VLOOKUP($B$16,$L$18:$Y$25,4,FALSE)</f>
        <v>492</v>
      </c>
      <c r="G19" s="25"/>
      <c r="H19" s="25">
        <f t="shared" ref="H19:H28" si="2">IF($H$15&gt;D18,IF($H$15&gt;D19,D19-D18,$H$15-D18),0)</f>
        <v>0</v>
      </c>
      <c r="I19" s="25">
        <f>H19*VLOOKUP($B$16,$L$18:$Y$25,4,FALSE)</f>
        <v>0</v>
      </c>
      <c r="J19" s="25">
        <f t="shared" si="0"/>
        <v>492</v>
      </c>
      <c r="K19" s="23"/>
      <c r="L19" s="24">
        <v>20</v>
      </c>
      <c r="M19" s="25">
        <v>660</v>
      </c>
      <c r="N19" s="21">
        <v>4</v>
      </c>
      <c r="O19" s="21">
        <v>105</v>
      </c>
      <c r="P19" s="21">
        <v>118</v>
      </c>
      <c r="Q19" s="21">
        <v>141</v>
      </c>
      <c r="R19" s="21">
        <v>179</v>
      </c>
      <c r="S19" s="21">
        <v>249</v>
      </c>
      <c r="T19" s="21">
        <v>257</v>
      </c>
      <c r="U19" s="21">
        <v>293</v>
      </c>
      <c r="V19" s="21">
        <v>293</v>
      </c>
      <c r="W19" s="21">
        <v>335</v>
      </c>
      <c r="X19" s="21">
        <v>335</v>
      </c>
      <c r="Y19" s="21">
        <v>335</v>
      </c>
    </row>
    <row r="20" spans="1:25" hidden="1" x14ac:dyDescent="0.4">
      <c r="A20" s="20" t="s">
        <v>27</v>
      </c>
      <c r="B20" s="25">
        <f>SUM(J18:J29)</f>
        <v>142728</v>
      </c>
      <c r="C20" s="23"/>
      <c r="D20" s="20">
        <v>20</v>
      </c>
      <c r="E20" s="25">
        <f t="shared" si="1"/>
        <v>10</v>
      </c>
      <c r="F20" s="25">
        <f>E20*VLOOKUP($B$16,$L$18:$Y$25,5,FALSE)</f>
        <v>2460</v>
      </c>
      <c r="G20" s="25"/>
      <c r="H20" s="25">
        <f t="shared" si="2"/>
        <v>0</v>
      </c>
      <c r="I20" s="25">
        <f>H20*VLOOKUP($B$16,$L$18:$Y$25,5,FALSE)</f>
        <v>0</v>
      </c>
      <c r="J20" s="25">
        <f t="shared" si="0"/>
        <v>2460</v>
      </c>
      <c r="K20" s="23"/>
      <c r="L20" s="24">
        <v>25</v>
      </c>
      <c r="M20" s="25">
        <v>660</v>
      </c>
      <c r="N20" s="21">
        <v>4</v>
      </c>
      <c r="O20" s="21">
        <v>105</v>
      </c>
      <c r="P20" s="21">
        <v>118</v>
      </c>
      <c r="Q20" s="21">
        <v>141</v>
      </c>
      <c r="R20" s="21">
        <v>179</v>
      </c>
      <c r="S20" s="21">
        <v>249</v>
      </c>
      <c r="T20" s="21">
        <v>257</v>
      </c>
      <c r="U20" s="21">
        <v>293</v>
      </c>
      <c r="V20" s="21">
        <v>293</v>
      </c>
      <c r="W20" s="21">
        <v>335</v>
      </c>
      <c r="X20" s="21">
        <v>335</v>
      </c>
      <c r="Y20" s="21">
        <v>335</v>
      </c>
    </row>
    <row r="21" spans="1:25" hidden="1" x14ac:dyDescent="0.4">
      <c r="A21" s="20" t="s">
        <v>15</v>
      </c>
      <c r="B21" s="25">
        <f>SUM(B19:B20)</f>
        <v>169779</v>
      </c>
      <c r="C21" s="23"/>
      <c r="D21" s="20">
        <v>30</v>
      </c>
      <c r="E21" s="25">
        <f t="shared" si="1"/>
        <v>10</v>
      </c>
      <c r="F21" s="25">
        <f>E21*VLOOKUP($B$16,$L$18:$Y$25,6,FALSE)</f>
        <v>2460</v>
      </c>
      <c r="G21" s="25"/>
      <c r="H21" s="25">
        <f t="shared" si="2"/>
        <v>0</v>
      </c>
      <c r="I21" s="25">
        <f>H21*VLOOKUP($B$16,$L$18:$Y$25,6,FALSE)</f>
        <v>0</v>
      </c>
      <c r="J21" s="25">
        <f t="shared" si="0"/>
        <v>2460</v>
      </c>
      <c r="K21" s="23"/>
      <c r="L21" s="24">
        <v>40</v>
      </c>
      <c r="M21" s="25">
        <v>5486</v>
      </c>
      <c r="N21" s="21">
        <v>87</v>
      </c>
      <c r="O21" s="21">
        <v>147</v>
      </c>
      <c r="P21" s="21">
        <v>147</v>
      </c>
      <c r="Q21" s="21">
        <v>147</v>
      </c>
      <c r="R21" s="21">
        <v>147</v>
      </c>
      <c r="S21" s="21">
        <v>237</v>
      </c>
      <c r="T21" s="21">
        <v>254</v>
      </c>
      <c r="U21" s="21">
        <v>256</v>
      </c>
      <c r="V21" s="21">
        <v>285</v>
      </c>
      <c r="W21" s="21">
        <v>334</v>
      </c>
      <c r="X21" s="21">
        <v>334</v>
      </c>
      <c r="Y21" s="21">
        <v>334</v>
      </c>
    </row>
    <row r="22" spans="1:25" hidden="1" x14ac:dyDescent="0.4">
      <c r="A22" s="20" t="s">
        <v>17</v>
      </c>
      <c r="B22" s="25">
        <f>J31</f>
        <v>16977</v>
      </c>
      <c r="C22" s="23"/>
      <c r="D22" s="20">
        <v>50</v>
      </c>
      <c r="E22" s="25">
        <f t="shared" si="1"/>
        <v>20</v>
      </c>
      <c r="F22" s="25">
        <f>E22*VLOOKUP($B$16,$L$18:$Y$25,7,FALSE)</f>
        <v>4920</v>
      </c>
      <c r="G22" s="25"/>
      <c r="H22" s="25">
        <f t="shared" si="2"/>
        <v>0</v>
      </c>
      <c r="I22" s="25">
        <f>H22*VLOOKUP($B$16,$L$18:$Y$25,7,FALSE)</f>
        <v>0</v>
      </c>
      <c r="J22" s="25">
        <f t="shared" si="0"/>
        <v>4920</v>
      </c>
      <c r="K22" s="23"/>
      <c r="L22" s="24">
        <v>50</v>
      </c>
      <c r="M22" s="25">
        <v>9957</v>
      </c>
      <c r="N22" s="21">
        <v>87</v>
      </c>
      <c r="O22" s="21">
        <v>214</v>
      </c>
      <c r="P22" s="21">
        <v>214</v>
      </c>
      <c r="Q22" s="21">
        <v>214</v>
      </c>
      <c r="R22" s="21">
        <v>214</v>
      </c>
      <c r="S22" s="21">
        <v>214</v>
      </c>
      <c r="T22" s="21">
        <v>235</v>
      </c>
      <c r="U22" s="21">
        <v>248</v>
      </c>
      <c r="V22" s="21">
        <v>270</v>
      </c>
      <c r="W22" s="21">
        <v>333</v>
      </c>
      <c r="X22" s="21">
        <v>333</v>
      </c>
      <c r="Y22" s="21">
        <v>333</v>
      </c>
    </row>
    <row r="23" spans="1:25" hidden="1" x14ac:dyDescent="0.4">
      <c r="A23" s="23"/>
      <c r="B23" s="27">
        <f>SUM(B21:B22)</f>
        <v>186756</v>
      </c>
      <c r="C23" s="23"/>
      <c r="D23" s="20">
        <v>100</v>
      </c>
      <c r="E23" s="25">
        <f t="shared" si="1"/>
        <v>50</v>
      </c>
      <c r="F23" s="25">
        <f>E23*VLOOKUP($B$16,$L$18:$Y$25,8,FALSE)</f>
        <v>12300</v>
      </c>
      <c r="G23" s="25"/>
      <c r="H23" s="25">
        <f t="shared" si="2"/>
        <v>0</v>
      </c>
      <c r="I23" s="25">
        <f>H23*VLOOKUP($B$16,$L$18:$Y$25,8,FALSE)</f>
        <v>0</v>
      </c>
      <c r="J23" s="25">
        <f t="shared" si="0"/>
        <v>12300</v>
      </c>
      <c r="K23" s="23"/>
      <c r="L23" s="24">
        <v>75</v>
      </c>
      <c r="M23" s="25">
        <v>27051</v>
      </c>
      <c r="N23" s="21">
        <v>87</v>
      </c>
      <c r="O23" s="21">
        <v>246</v>
      </c>
      <c r="P23" s="21">
        <v>246</v>
      </c>
      <c r="Q23" s="21">
        <v>246</v>
      </c>
      <c r="R23" s="21">
        <v>246</v>
      </c>
      <c r="S23" s="21">
        <v>246</v>
      </c>
      <c r="T23" s="21">
        <v>246</v>
      </c>
      <c r="U23" s="21">
        <v>246</v>
      </c>
      <c r="V23" s="21">
        <v>255</v>
      </c>
      <c r="W23" s="21">
        <v>300</v>
      </c>
      <c r="X23" s="21">
        <v>332</v>
      </c>
      <c r="Y23" s="21">
        <v>332</v>
      </c>
    </row>
    <row r="24" spans="1:25" hidden="1" x14ac:dyDescent="0.4">
      <c r="A24" s="23"/>
      <c r="B24" s="23"/>
      <c r="C24" s="23"/>
      <c r="D24" s="20">
        <v>200</v>
      </c>
      <c r="E24" s="25">
        <f t="shared" si="1"/>
        <v>100</v>
      </c>
      <c r="F24" s="25">
        <f>E24*VLOOKUP($B$16,$L$18:$Y$25,9,FALSE)</f>
        <v>24600</v>
      </c>
      <c r="G24" s="25"/>
      <c r="H24" s="25">
        <f t="shared" si="2"/>
        <v>0</v>
      </c>
      <c r="I24" s="25">
        <f>H24*VLOOKUP($B$16,$L$18:$Y$25,9,FALSE)</f>
        <v>0</v>
      </c>
      <c r="J24" s="25">
        <f t="shared" si="0"/>
        <v>24600</v>
      </c>
      <c r="K24" s="23"/>
      <c r="L24" s="24">
        <v>100</v>
      </c>
      <c r="M24" s="25">
        <v>55164</v>
      </c>
      <c r="N24" s="21">
        <v>87</v>
      </c>
      <c r="O24" s="21">
        <v>272</v>
      </c>
      <c r="P24" s="21">
        <v>272</v>
      </c>
      <c r="Q24" s="21">
        <v>272</v>
      </c>
      <c r="R24" s="21">
        <v>272</v>
      </c>
      <c r="S24" s="21">
        <v>272</v>
      </c>
      <c r="T24" s="21">
        <v>272</v>
      </c>
      <c r="U24" s="21">
        <v>272</v>
      </c>
      <c r="V24" s="21">
        <v>272</v>
      </c>
      <c r="W24" s="21">
        <v>280</v>
      </c>
      <c r="X24" s="21">
        <v>321</v>
      </c>
      <c r="Y24" s="21">
        <v>327</v>
      </c>
    </row>
    <row r="25" spans="1:25" hidden="1" x14ac:dyDescent="0.4">
      <c r="A25" s="23"/>
      <c r="B25" s="23"/>
      <c r="C25" s="23"/>
      <c r="D25" s="20">
        <v>300</v>
      </c>
      <c r="E25" s="25">
        <f t="shared" si="1"/>
        <v>100</v>
      </c>
      <c r="F25" s="25">
        <f>E25*VLOOKUP($B$16,$L$18:$Y$25,10,FALSE)</f>
        <v>24600</v>
      </c>
      <c r="G25" s="25"/>
      <c r="H25" s="25">
        <f t="shared" si="2"/>
        <v>0</v>
      </c>
      <c r="I25" s="25">
        <f>H25*VLOOKUP($B$16,$L$18:$Y$25,10,FALSE)</f>
        <v>0</v>
      </c>
      <c r="J25" s="25">
        <f t="shared" si="0"/>
        <v>24600</v>
      </c>
      <c r="K25" s="23"/>
      <c r="L25" s="24">
        <v>150</v>
      </c>
      <c r="M25" s="25">
        <v>157319</v>
      </c>
      <c r="N25" s="21">
        <v>87</v>
      </c>
      <c r="O25" s="21">
        <v>298</v>
      </c>
      <c r="P25" s="21">
        <v>298</v>
      </c>
      <c r="Q25" s="21">
        <v>298</v>
      </c>
      <c r="R25" s="21">
        <v>298</v>
      </c>
      <c r="S25" s="21">
        <v>298</v>
      </c>
      <c r="T25" s="21">
        <v>298</v>
      </c>
      <c r="U25" s="21">
        <v>298</v>
      </c>
      <c r="V25" s="21">
        <v>298</v>
      </c>
      <c r="W25" s="21">
        <v>298</v>
      </c>
      <c r="X25" s="21">
        <v>300</v>
      </c>
      <c r="Y25" s="21">
        <v>305</v>
      </c>
    </row>
    <row r="26" spans="1:25" hidden="1" x14ac:dyDescent="0.4">
      <c r="A26" s="23"/>
      <c r="B26" s="23"/>
      <c r="C26" s="23"/>
      <c r="D26" s="20">
        <v>500</v>
      </c>
      <c r="E26" s="25">
        <f t="shared" si="1"/>
        <v>200</v>
      </c>
      <c r="F26" s="25">
        <f>E26*VLOOKUP($B$16,$L$18:$Y$25,11,FALSE)</f>
        <v>51000</v>
      </c>
      <c r="G26" s="25"/>
      <c r="H26" s="25">
        <f t="shared" si="2"/>
        <v>0</v>
      </c>
      <c r="I26" s="25">
        <f>H26*VLOOKUP($B$16,$L$18:$Y$25,11,FALSE)</f>
        <v>0</v>
      </c>
      <c r="J26" s="25">
        <f t="shared" si="0"/>
        <v>51000</v>
      </c>
      <c r="K26" s="21"/>
      <c r="L26" s="20" t="s">
        <v>28</v>
      </c>
      <c r="M26" s="23">
        <v>768</v>
      </c>
      <c r="N26" s="21">
        <v>4</v>
      </c>
      <c r="O26" s="21">
        <v>120</v>
      </c>
      <c r="P26" s="21">
        <v>134</v>
      </c>
      <c r="Q26" s="21">
        <v>171</v>
      </c>
      <c r="R26" s="21">
        <v>210</v>
      </c>
      <c r="S26" s="21">
        <v>246</v>
      </c>
      <c r="T26" s="21">
        <v>280</v>
      </c>
      <c r="U26" s="21">
        <v>298</v>
      </c>
      <c r="V26" s="21">
        <v>298</v>
      </c>
      <c r="W26" s="21">
        <v>318</v>
      </c>
      <c r="X26" s="21">
        <v>337</v>
      </c>
      <c r="Y26" s="21">
        <v>337</v>
      </c>
    </row>
    <row r="27" spans="1:25" hidden="1" x14ac:dyDescent="0.4">
      <c r="A27" s="23"/>
      <c r="B27" s="23"/>
      <c r="C27" s="23"/>
      <c r="D27" s="20">
        <v>1000</v>
      </c>
      <c r="E27" s="25">
        <f t="shared" si="1"/>
        <v>64</v>
      </c>
      <c r="F27" s="25">
        <f>E27*VLOOKUP($B$16,$L$18:$Y$25,12,FALSE)</f>
        <v>19200</v>
      </c>
      <c r="G27" s="25"/>
      <c r="H27" s="25">
        <f t="shared" si="2"/>
        <v>0</v>
      </c>
      <c r="I27" s="25">
        <f>H27*VLOOKUP($B$16,$L$18:$Y$25,12,FALSE)</f>
        <v>0</v>
      </c>
      <c r="J27" s="25">
        <f t="shared" si="0"/>
        <v>19200</v>
      </c>
      <c r="K27" s="25"/>
      <c r="L27" s="25"/>
      <c r="M27" s="25"/>
      <c r="N27" s="25"/>
      <c r="O27" s="25"/>
      <c r="P27" s="25"/>
      <c r="Q27" s="25"/>
      <c r="R27" s="25"/>
      <c r="S27" s="25"/>
      <c r="T27" s="21"/>
      <c r="U27" s="23"/>
      <c r="V27" s="23"/>
      <c r="W27" s="23"/>
      <c r="X27" s="23"/>
      <c r="Y27" s="23"/>
    </row>
    <row r="28" spans="1:25" hidden="1" x14ac:dyDescent="0.4">
      <c r="A28" s="23"/>
      <c r="B28" s="23"/>
      <c r="C28" s="23"/>
      <c r="D28" s="20">
        <v>3000</v>
      </c>
      <c r="E28" s="25">
        <f t="shared" si="1"/>
        <v>0</v>
      </c>
      <c r="F28" s="25">
        <f>E28*VLOOKUP($B$16,$L$18:$Y$25,13,FALSE)</f>
        <v>0</v>
      </c>
      <c r="G28" s="25"/>
      <c r="H28" s="25">
        <f t="shared" si="2"/>
        <v>0</v>
      </c>
      <c r="I28" s="25">
        <f>H28*VLOOKUP($B$16,$L$18:$Y$25,13,FALSE)</f>
        <v>0</v>
      </c>
      <c r="J28" s="25">
        <f t="shared" si="0"/>
        <v>0</v>
      </c>
      <c r="K28" s="25"/>
      <c r="L28" s="25"/>
      <c r="M28" s="25"/>
      <c r="N28" s="25"/>
      <c r="O28" s="25"/>
      <c r="P28" s="25"/>
      <c r="Q28" s="25"/>
      <c r="R28" s="25"/>
      <c r="S28" s="25"/>
      <c r="T28" s="21"/>
      <c r="U28" s="23"/>
      <c r="V28" s="23"/>
      <c r="W28" s="23"/>
      <c r="X28" s="23"/>
      <c r="Y28" s="23"/>
    </row>
    <row r="29" spans="1:25" hidden="1" x14ac:dyDescent="0.4">
      <c r="A29" s="23"/>
      <c r="B29" s="23"/>
      <c r="C29" s="23"/>
      <c r="D29" s="20" t="s">
        <v>34</v>
      </c>
      <c r="E29" s="25">
        <f>IF($E$15&gt;D28,E$15-D28,0)</f>
        <v>0</v>
      </c>
      <c r="F29" s="25">
        <f>E29*VLOOKUP($B$16,$L$18:$Y$25,14,FALSE)</f>
        <v>0</v>
      </c>
      <c r="G29" s="25"/>
      <c r="H29" s="25">
        <f>IF($H$15&gt;D28,H$15-D28,0)</f>
        <v>0</v>
      </c>
      <c r="I29" s="25">
        <f>H29*VLOOKUP($B$16,$L$18:$Y$25,14,FALSE)</f>
        <v>0</v>
      </c>
      <c r="J29" s="25">
        <f t="shared" si="0"/>
        <v>0</v>
      </c>
      <c r="K29" s="25"/>
      <c r="L29" s="25"/>
      <c r="M29" s="25"/>
      <c r="N29" s="25"/>
      <c r="O29" s="25"/>
      <c r="P29" s="25"/>
      <c r="Q29" s="25"/>
      <c r="R29" s="25"/>
      <c r="S29" s="25"/>
      <c r="T29" s="21"/>
      <c r="U29" s="23"/>
      <c r="V29" s="23"/>
      <c r="W29" s="23"/>
      <c r="X29" s="23"/>
      <c r="Y29" s="23"/>
    </row>
    <row r="30" spans="1:25" hidden="1" x14ac:dyDescent="0.4">
      <c r="A30" s="23"/>
      <c r="B30" s="23"/>
      <c r="C30" s="23"/>
      <c r="D30" s="21"/>
      <c r="E30" s="21" t="s">
        <v>2</v>
      </c>
      <c r="F30" s="25">
        <f>SUM(F17:F29)</f>
        <v>169779</v>
      </c>
      <c r="G30" s="25"/>
      <c r="H30" s="23"/>
      <c r="I30" s="25">
        <f>SUM(I17:I29)</f>
        <v>0</v>
      </c>
      <c r="J30" s="25">
        <f t="shared" si="0"/>
        <v>169779</v>
      </c>
      <c r="K30" s="25"/>
      <c r="L30" s="25"/>
      <c r="M30" s="25"/>
      <c r="N30" s="25"/>
      <c r="O30" s="25"/>
      <c r="P30" s="25"/>
      <c r="Q30" s="25"/>
      <c r="R30" s="25"/>
      <c r="S30" s="25"/>
      <c r="T30" s="21"/>
      <c r="U30" s="23"/>
      <c r="V30" s="23"/>
      <c r="W30" s="23"/>
      <c r="X30" s="23"/>
      <c r="Y30" s="23"/>
    </row>
    <row r="31" spans="1:25" hidden="1" x14ac:dyDescent="0.4">
      <c r="A31" s="23"/>
      <c r="B31" s="23"/>
      <c r="C31" s="23"/>
      <c r="D31" s="21"/>
      <c r="E31" s="21"/>
      <c r="F31" s="25">
        <f>ROUNDDOWN(F30*0.1,0)</f>
        <v>16977</v>
      </c>
      <c r="G31" s="25"/>
      <c r="H31" s="25"/>
      <c r="I31" s="25">
        <f>ROUNDDOWN(I30*0.1,0)</f>
        <v>0</v>
      </c>
      <c r="J31" s="25">
        <f t="shared" si="0"/>
        <v>16977</v>
      </c>
      <c r="K31" s="25"/>
      <c r="L31" s="25"/>
      <c r="M31" s="25"/>
      <c r="N31" s="25"/>
      <c r="O31" s="25"/>
      <c r="P31" s="25"/>
      <c r="Q31" s="25"/>
      <c r="R31" s="25"/>
      <c r="S31" s="25"/>
      <c r="T31" s="21"/>
      <c r="U31" s="23"/>
      <c r="V31" s="23"/>
      <c r="W31" s="23"/>
      <c r="X31" s="23"/>
      <c r="Y31" s="23"/>
    </row>
    <row r="32" spans="1:25" hidden="1" x14ac:dyDescent="0.4">
      <c r="A32" s="23"/>
      <c r="B32" s="23"/>
      <c r="C32" s="23"/>
      <c r="D32" s="21"/>
      <c r="E32" s="21" t="s">
        <v>3</v>
      </c>
      <c r="F32" s="25">
        <f>SUM(F30:F31)</f>
        <v>186756</v>
      </c>
      <c r="G32" s="25"/>
      <c r="H32" s="23"/>
      <c r="I32" s="25">
        <f>SUM(I30:I31)</f>
        <v>0</v>
      </c>
      <c r="J32" s="25">
        <f t="shared" si="0"/>
        <v>186756</v>
      </c>
      <c r="K32" s="25"/>
      <c r="L32" s="25"/>
      <c r="M32" s="25"/>
      <c r="N32" s="25"/>
      <c r="O32" s="25"/>
      <c r="P32" s="25"/>
      <c r="Q32" s="25"/>
      <c r="R32" s="25"/>
      <c r="S32" s="25"/>
      <c r="T32" s="21"/>
      <c r="U32" s="23"/>
      <c r="V32" s="23"/>
      <c r="W32" s="23"/>
      <c r="X32" s="23"/>
      <c r="Y32" s="23"/>
    </row>
    <row r="33" spans="1:29" hidden="1" x14ac:dyDescent="0.4">
      <c r="A33" s="23"/>
      <c r="B33" s="23"/>
      <c r="C33" s="23"/>
      <c r="D33" s="21"/>
      <c r="E33" s="21"/>
      <c r="F33" s="21"/>
      <c r="G33" s="21"/>
      <c r="H33" s="21"/>
      <c r="I33" s="21"/>
      <c r="J33" s="23"/>
      <c r="K33" s="25"/>
      <c r="L33" s="25"/>
      <c r="M33" s="25"/>
      <c r="N33" s="25"/>
      <c r="O33" s="25"/>
      <c r="P33" s="25"/>
      <c r="Q33" s="25"/>
      <c r="R33" s="25"/>
      <c r="S33" s="25"/>
      <c r="T33" s="21"/>
      <c r="U33" s="23"/>
      <c r="V33" s="23"/>
      <c r="W33" s="23"/>
      <c r="X33" s="23"/>
      <c r="Y33" s="23"/>
    </row>
    <row r="34" spans="1:29" hidden="1" x14ac:dyDescent="0.4">
      <c r="A34" s="23"/>
      <c r="B34" s="24"/>
      <c r="C34" s="25"/>
      <c r="D34" s="21"/>
      <c r="E34" s="23"/>
      <c r="F34" s="21"/>
      <c r="G34" s="25"/>
      <c r="H34" s="21"/>
      <c r="I34" s="25"/>
      <c r="J34" s="21"/>
      <c r="K34" s="25"/>
      <c r="L34" s="21"/>
      <c r="M34" s="25"/>
      <c r="N34" s="21"/>
      <c r="O34" s="25"/>
      <c r="P34" s="21"/>
      <c r="Q34" s="25"/>
      <c r="R34" s="21"/>
      <c r="S34" s="25"/>
      <c r="T34" s="21"/>
      <c r="U34" s="25"/>
      <c r="V34" s="21"/>
      <c r="W34" s="25"/>
      <c r="X34" s="21"/>
      <c r="Y34" s="25"/>
      <c r="Z34" s="4"/>
      <c r="AA34" s="16"/>
    </row>
    <row r="35" spans="1:29" hidden="1" x14ac:dyDescent="0.4">
      <c r="A35" s="23"/>
      <c r="B35" s="24"/>
      <c r="C35" s="25"/>
      <c r="D35" s="25"/>
      <c r="E35" s="23"/>
      <c r="F35" s="25">
        <f>M26</f>
        <v>768</v>
      </c>
      <c r="G35" s="25"/>
      <c r="H35" s="21"/>
      <c r="I35" s="25">
        <f>IF(B18=2,M26,0)</f>
        <v>0</v>
      </c>
      <c r="J35" s="25">
        <f>F35+I35</f>
        <v>768</v>
      </c>
      <c r="K35" s="25"/>
      <c r="L35" s="21"/>
      <c r="M35" s="25"/>
      <c r="N35" s="21"/>
      <c r="O35" s="25"/>
      <c r="P35" s="21"/>
      <c r="Q35" s="25"/>
      <c r="R35" s="21"/>
      <c r="S35" s="25"/>
      <c r="T35" s="21"/>
      <c r="U35" s="25"/>
      <c r="V35" s="21"/>
      <c r="W35" s="25"/>
      <c r="X35" s="21"/>
      <c r="Y35" s="25"/>
      <c r="Z35" s="4"/>
      <c r="AA35" s="16"/>
    </row>
    <row r="36" spans="1:29" hidden="1" x14ac:dyDescent="0.4">
      <c r="A36" s="23"/>
      <c r="B36" s="24"/>
      <c r="C36" s="25">
        <v>4</v>
      </c>
      <c r="D36" s="23">
        <v>8</v>
      </c>
      <c r="E36" s="25">
        <f>IF($E$15&gt;D36,D36,$E$15)</f>
        <v>8</v>
      </c>
      <c r="F36" s="25">
        <f>E36*$C36</f>
        <v>32</v>
      </c>
      <c r="G36" s="25"/>
      <c r="H36" s="25">
        <f>IF($H$15&gt;D36,D36,$H$15)</f>
        <v>0</v>
      </c>
      <c r="I36" s="25">
        <f t="shared" ref="I36:I45" si="3">H36*$C36</f>
        <v>0</v>
      </c>
      <c r="J36" s="25">
        <f t="shared" ref="J36:J46" si="4">F36+I36</f>
        <v>32</v>
      </c>
      <c r="K36" s="25"/>
      <c r="L36" s="21"/>
      <c r="M36" s="25"/>
      <c r="N36" s="21"/>
      <c r="O36" s="25"/>
      <c r="P36" s="21"/>
      <c r="Q36" s="25"/>
      <c r="R36" s="21"/>
      <c r="S36" s="25"/>
      <c r="T36" s="21"/>
      <c r="U36" s="25"/>
      <c r="V36" s="21"/>
      <c r="W36" s="25"/>
      <c r="X36" s="21"/>
      <c r="Y36" s="25"/>
      <c r="Z36" s="4"/>
      <c r="AA36" s="16"/>
    </row>
    <row r="37" spans="1:29" hidden="1" x14ac:dyDescent="0.4">
      <c r="A37" s="23"/>
      <c r="B37" s="24"/>
      <c r="C37" s="25">
        <v>120</v>
      </c>
      <c r="D37" s="23">
        <v>10</v>
      </c>
      <c r="E37" s="25">
        <f t="shared" ref="E37:E45" si="5">IF($E$15&gt;D36,IF($E$15&gt;D37,D37-D36,$E$15-D36),0)</f>
        <v>2</v>
      </c>
      <c r="F37" s="25">
        <f t="shared" ref="F37:F45" si="6">E37*$C37</f>
        <v>240</v>
      </c>
      <c r="G37" s="25"/>
      <c r="H37" s="25">
        <f t="shared" ref="H37:H45" si="7">IF($H$15&gt;D36,IF($H$15&gt;D37,D37-D36,$H$15-D36),0)</f>
        <v>0</v>
      </c>
      <c r="I37" s="25">
        <f t="shared" si="3"/>
        <v>0</v>
      </c>
      <c r="J37" s="25">
        <f t="shared" si="4"/>
        <v>240</v>
      </c>
      <c r="K37" s="25"/>
      <c r="L37" s="21"/>
      <c r="M37" s="25"/>
      <c r="N37" s="21"/>
      <c r="O37" s="25"/>
      <c r="P37" s="21"/>
      <c r="Q37" s="25"/>
      <c r="R37" s="21"/>
      <c r="S37" s="25"/>
      <c r="T37" s="21"/>
      <c r="U37" s="25"/>
      <c r="V37" s="21"/>
      <c r="W37" s="25"/>
      <c r="X37" s="21"/>
      <c r="Y37" s="25"/>
      <c r="Z37" s="4"/>
      <c r="AA37" s="16"/>
    </row>
    <row r="38" spans="1:29" hidden="1" x14ac:dyDescent="0.4">
      <c r="A38" s="23"/>
      <c r="B38" s="24"/>
      <c r="C38" s="25">
        <v>134</v>
      </c>
      <c r="D38" s="23">
        <v>20</v>
      </c>
      <c r="E38" s="25">
        <f t="shared" si="5"/>
        <v>10</v>
      </c>
      <c r="F38" s="25">
        <f t="shared" si="6"/>
        <v>1340</v>
      </c>
      <c r="G38" s="25"/>
      <c r="H38" s="25">
        <f t="shared" si="7"/>
        <v>0</v>
      </c>
      <c r="I38" s="25">
        <f t="shared" si="3"/>
        <v>0</v>
      </c>
      <c r="J38" s="25">
        <f t="shared" si="4"/>
        <v>1340</v>
      </c>
      <c r="K38" s="25"/>
      <c r="L38" s="21"/>
      <c r="M38" s="25"/>
      <c r="N38" s="21"/>
      <c r="O38" s="25"/>
      <c r="P38" s="21"/>
      <c r="Q38" s="25"/>
      <c r="R38" s="21"/>
      <c r="S38" s="25"/>
      <c r="T38" s="21"/>
      <c r="U38" s="25"/>
      <c r="V38" s="21"/>
      <c r="W38" s="25"/>
      <c r="X38" s="21"/>
      <c r="Y38" s="25"/>
      <c r="Z38" s="4"/>
      <c r="AA38" s="16"/>
    </row>
    <row r="39" spans="1:29" hidden="1" x14ac:dyDescent="0.4">
      <c r="A39" s="23"/>
      <c r="B39" s="24"/>
      <c r="C39" s="25">
        <v>171</v>
      </c>
      <c r="D39" s="23">
        <v>30</v>
      </c>
      <c r="E39" s="25">
        <f t="shared" si="5"/>
        <v>10</v>
      </c>
      <c r="F39" s="25">
        <f t="shared" si="6"/>
        <v>1710</v>
      </c>
      <c r="G39" s="25"/>
      <c r="H39" s="25">
        <f t="shared" si="7"/>
        <v>0</v>
      </c>
      <c r="I39" s="25">
        <f t="shared" si="3"/>
        <v>0</v>
      </c>
      <c r="J39" s="25">
        <f t="shared" si="4"/>
        <v>1710</v>
      </c>
      <c r="K39" s="25"/>
      <c r="L39" s="21"/>
      <c r="M39" s="25"/>
      <c r="N39" s="21"/>
      <c r="O39" s="25"/>
      <c r="P39" s="21"/>
      <c r="Q39" s="25"/>
      <c r="R39" s="21"/>
      <c r="S39" s="25"/>
      <c r="T39" s="21"/>
      <c r="U39" s="25"/>
      <c r="V39" s="21"/>
      <c r="W39" s="25"/>
      <c r="X39" s="21"/>
      <c r="Y39" s="25"/>
      <c r="Z39" s="4"/>
      <c r="AA39" s="16"/>
    </row>
    <row r="40" spans="1:29" hidden="1" x14ac:dyDescent="0.4">
      <c r="A40" s="23"/>
      <c r="B40" s="24"/>
      <c r="C40" s="25">
        <v>210</v>
      </c>
      <c r="D40" s="23">
        <v>50</v>
      </c>
      <c r="E40" s="25">
        <f t="shared" si="5"/>
        <v>20</v>
      </c>
      <c r="F40" s="25">
        <f t="shared" si="6"/>
        <v>4200</v>
      </c>
      <c r="G40" s="25"/>
      <c r="H40" s="25">
        <f t="shared" si="7"/>
        <v>0</v>
      </c>
      <c r="I40" s="25">
        <f t="shared" si="3"/>
        <v>0</v>
      </c>
      <c r="J40" s="25">
        <f t="shared" si="4"/>
        <v>4200</v>
      </c>
      <c r="K40" s="25"/>
      <c r="L40" s="21"/>
      <c r="M40" s="25"/>
      <c r="N40" s="21"/>
      <c r="O40" s="25"/>
      <c r="P40" s="21"/>
      <c r="Q40" s="25"/>
      <c r="R40" s="21"/>
      <c r="S40" s="25"/>
      <c r="T40" s="21"/>
      <c r="U40" s="25"/>
      <c r="V40" s="21"/>
      <c r="W40" s="25"/>
      <c r="X40" s="21"/>
      <c r="Y40" s="25"/>
      <c r="Z40" s="4"/>
      <c r="AA40" s="16"/>
    </row>
    <row r="41" spans="1:29" hidden="1" x14ac:dyDescent="0.4">
      <c r="A41" s="23"/>
      <c r="B41" s="23"/>
      <c r="C41" s="23">
        <v>246</v>
      </c>
      <c r="D41" s="23">
        <v>100</v>
      </c>
      <c r="E41" s="25">
        <f t="shared" si="5"/>
        <v>50</v>
      </c>
      <c r="F41" s="25">
        <f t="shared" si="6"/>
        <v>12300</v>
      </c>
      <c r="G41" s="25"/>
      <c r="H41" s="25">
        <f t="shared" si="7"/>
        <v>0</v>
      </c>
      <c r="I41" s="25">
        <f t="shared" si="3"/>
        <v>0</v>
      </c>
      <c r="J41" s="25">
        <f t="shared" si="4"/>
        <v>12300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4"/>
    </row>
    <row r="42" spans="1:29" hidden="1" x14ac:dyDescent="0.4">
      <c r="A42" s="23"/>
      <c r="B42" s="23"/>
      <c r="C42" s="23">
        <v>280</v>
      </c>
      <c r="D42" s="23">
        <v>200</v>
      </c>
      <c r="E42" s="25">
        <f t="shared" si="5"/>
        <v>100</v>
      </c>
      <c r="F42" s="25">
        <f t="shared" si="6"/>
        <v>28000</v>
      </c>
      <c r="G42" s="25"/>
      <c r="H42" s="25">
        <f t="shared" si="7"/>
        <v>0</v>
      </c>
      <c r="I42" s="25">
        <f t="shared" si="3"/>
        <v>0</v>
      </c>
      <c r="J42" s="25">
        <f t="shared" si="4"/>
        <v>28000</v>
      </c>
      <c r="K42" s="21"/>
      <c r="L42" s="25"/>
      <c r="M42" s="21"/>
      <c r="N42" s="25"/>
      <c r="O42" s="21"/>
      <c r="P42" s="25"/>
      <c r="Q42" s="21"/>
      <c r="R42" s="25"/>
      <c r="S42" s="21"/>
      <c r="T42" s="25"/>
      <c r="U42" s="21"/>
      <c r="V42" s="25"/>
      <c r="W42" s="21"/>
      <c r="X42" s="25"/>
      <c r="Y42" s="21"/>
      <c r="Z42" s="16"/>
      <c r="AB42" s="16"/>
      <c r="AC42" s="4"/>
    </row>
    <row r="43" spans="1:29" hidden="1" x14ac:dyDescent="0.4">
      <c r="A43" s="23"/>
      <c r="B43" s="23"/>
      <c r="C43" s="23">
        <v>298</v>
      </c>
      <c r="D43" s="23">
        <v>500</v>
      </c>
      <c r="E43" s="25">
        <f t="shared" si="5"/>
        <v>300</v>
      </c>
      <c r="F43" s="25">
        <f t="shared" si="6"/>
        <v>89400</v>
      </c>
      <c r="G43" s="25"/>
      <c r="H43" s="25">
        <f t="shared" si="7"/>
        <v>0</v>
      </c>
      <c r="I43" s="25">
        <f t="shared" si="3"/>
        <v>0</v>
      </c>
      <c r="J43" s="25">
        <f t="shared" si="4"/>
        <v>89400</v>
      </c>
      <c r="K43" s="21"/>
      <c r="L43" s="25"/>
      <c r="M43" s="21"/>
      <c r="N43" s="25"/>
      <c r="O43" s="21"/>
      <c r="P43" s="25"/>
      <c r="Q43" s="21"/>
      <c r="R43" s="25"/>
      <c r="S43" s="21"/>
      <c r="T43" s="25"/>
      <c r="U43" s="21"/>
      <c r="V43" s="25"/>
      <c r="W43" s="21"/>
      <c r="X43" s="25"/>
      <c r="Y43" s="21"/>
      <c r="Z43" s="16"/>
      <c r="AB43" s="16"/>
      <c r="AC43" s="4"/>
    </row>
    <row r="44" spans="1:29" hidden="1" x14ac:dyDescent="0.4">
      <c r="A44" s="23"/>
      <c r="B44" s="23"/>
      <c r="C44" s="23">
        <v>318</v>
      </c>
      <c r="D44" s="23">
        <v>1000</v>
      </c>
      <c r="E44" s="25">
        <f t="shared" si="5"/>
        <v>64</v>
      </c>
      <c r="F44" s="25">
        <f t="shared" si="6"/>
        <v>20352</v>
      </c>
      <c r="G44" s="25"/>
      <c r="H44" s="25">
        <f t="shared" si="7"/>
        <v>0</v>
      </c>
      <c r="I44" s="25">
        <f t="shared" si="3"/>
        <v>0</v>
      </c>
      <c r="J44" s="25">
        <f t="shared" si="4"/>
        <v>20352</v>
      </c>
      <c r="K44" s="21"/>
      <c r="L44" s="25"/>
      <c r="M44" s="21"/>
      <c r="N44" s="25"/>
      <c r="O44" s="21"/>
      <c r="P44" s="25"/>
      <c r="Q44" s="21"/>
      <c r="R44" s="25"/>
      <c r="S44" s="21"/>
      <c r="T44" s="25"/>
      <c r="U44" s="21"/>
      <c r="V44" s="25"/>
      <c r="W44" s="21"/>
      <c r="X44" s="25"/>
      <c r="Y44" s="21"/>
      <c r="Z44" s="16"/>
      <c r="AB44" s="16"/>
      <c r="AC44" s="4"/>
    </row>
    <row r="45" spans="1:29" hidden="1" x14ac:dyDescent="0.4">
      <c r="A45" s="23"/>
      <c r="B45" s="23"/>
      <c r="C45" s="23">
        <v>337</v>
      </c>
      <c r="D45" s="20" t="s">
        <v>40</v>
      </c>
      <c r="E45" s="25">
        <f t="shared" si="5"/>
        <v>0</v>
      </c>
      <c r="F45" s="25">
        <f t="shared" si="6"/>
        <v>0</v>
      </c>
      <c r="G45" s="25"/>
      <c r="H45" s="25">
        <f t="shared" si="7"/>
        <v>0</v>
      </c>
      <c r="I45" s="25">
        <f t="shared" si="3"/>
        <v>0</v>
      </c>
      <c r="J45" s="25">
        <f t="shared" si="4"/>
        <v>0</v>
      </c>
      <c r="K45" s="21"/>
      <c r="L45" s="25"/>
      <c r="M45" s="21"/>
      <c r="N45" s="25"/>
      <c r="O45" s="21"/>
      <c r="P45" s="25"/>
      <c r="Q45" s="21"/>
      <c r="R45" s="25"/>
      <c r="S45" s="21"/>
      <c r="T45" s="25"/>
      <c r="U45" s="21"/>
      <c r="V45" s="25"/>
      <c r="W45" s="21"/>
      <c r="X45" s="25"/>
      <c r="Y45" s="21"/>
      <c r="Z45" s="16"/>
      <c r="AB45" s="16"/>
      <c r="AC45" s="4"/>
    </row>
    <row r="46" spans="1:29" hidden="1" x14ac:dyDescent="0.4">
      <c r="A46" s="23"/>
      <c r="B46" s="23"/>
      <c r="C46" s="23"/>
      <c r="D46" s="23"/>
      <c r="E46" s="25"/>
      <c r="F46" s="27">
        <f>SUM(F35:F45)</f>
        <v>158342</v>
      </c>
      <c r="G46" s="27"/>
      <c r="H46" s="25"/>
      <c r="I46" s="27">
        <f>SUM(I35:I45)</f>
        <v>0</v>
      </c>
      <c r="J46" s="25">
        <f t="shared" si="4"/>
        <v>158342</v>
      </c>
      <c r="K46" s="21"/>
      <c r="L46" s="25"/>
      <c r="M46" s="21"/>
      <c r="N46" s="25"/>
      <c r="O46" s="21"/>
      <c r="P46" s="25"/>
      <c r="Q46" s="21"/>
      <c r="R46" s="25"/>
      <c r="S46" s="21"/>
      <c r="T46" s="25"/>
      <c r="U46" s="21"/>
      <c r="V46" s="25"/>
      <c r="W46" s="21"/>
      <c r="X46" s="25"/>
      <c r="Y46" s="21"/>
      <c r="Z46" s="16"/>
      <c r="AB46" s="16"/>
      <c r="AC46" s="4"/>
    </row>
    <row r="47" spans="1:29" hidden="1" x14ac:dyDescent="0.4">
      <c r="A47" s="23"/>
      <c r="B47" s="23"/>
      <c r="C47" s="23"/>
      <c r="D47" s="23"/>
      <c r="E47" s="23"/>
      <c r="F47" s="25">
        <f>ROUNDDOWN(F46*0.1,0)</f>
        <v>15834</v>
      </c>
      <c r="G47" s="25"/>
      <c r="H47" s="25"/>
      <c r="I47" s="25">
        <f>ROUNDDOWN(I46*0.1,0)</f>
        <v>0</v>
      </c>
      <c r="J47" s="25">
        <f>F47+I47</f>
        <v>15834</v>
      </c>
      <c r="K47" s="21"/>
      <c r="L47" s="25"/>
      <c r="M47" s="21"/>
      <c r="N47" s="25"/>
      <c r="O47" s="21"/>
      <c r="P47" s="25"/>
      <c r="Q47" s="21"/>
      <c r="R47" s="25"/>
      <c r="S47" s="21"/>
      <c r="T47" s="25"/>
      <c r="U47" s="21"/>
      <c r="V47" s="25"/>
      <c r="W47" s="21"/>
      <c r="X47" s="25"/>
      <c r="Y47" s="21"/>
      <c r="Z47" s="16"/>
      <c r="AB47" s="16"/>
      <c r="AC47" s="4"/>
    </row>
    <row r="48" spans="1:29" hidden="1" x14ac:dyDescent="0.4">
      <c r="A48" s="23"/>
      <c r="B48" s="23"/>
      <c r="C48" s="23"/>
      <c r="D48" s="23"/>
      <c r="E48" s="23"/>
      <c r="F48" s="25">
        <f>SUM(F46:F47)</f>
        <v>174176</v>
      </c>
      <c r="G48" s="21"/>
      <c r="H48" s="21"/>
      <c r="I48" s="25">
        <f>SUM(I46:I47)</f>
        <v>0</v>
      </c>
      <c r="J48" s="25">
        <f>F48+I48</f>
        <v>174176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36" hidden="1" x14ac:dyDescent="0.4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x14ac:dyDescent="0.4">
      <c r="A50" s="23"/>
      <c r="B50" s="23"/>
      <c r="C50" s="23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3"/>
    </row>
    <row r="51" spans="1:36" x14ac:dyDescent="0.4">
      <c r="A51" s="23"/>
      <c r="B51" s="23"/>
      <c r="C51" s="23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3"/>
    </row>
    <row r="52" spans="1:36" x14ac:dyDescent="0.4">
      <c r="A52" s="23"/>
      <c r="B52" s="23"/>
      <c r="C52" s="23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3"/>
    </row>
    <row r="53" spans="1:36" x14ac:dyDescent="0.4">
      <c r="A53" s="23"/>
      <c r="B53" s="23"/>
      <c r="C53" s="23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3"/>
    </row>
    <row r="54" spans="1:36" x14ac:dyDescent="0.4">
      <c r="A54" s="23"/>
      <c r="B54" s="23"/>
      <c r="C54" s="23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3"/>
    </row>
    <row r="55" spans="1:36" x14ac:dyDescent="0.4">
      <c r="A55" s="23"/>
      <c r="B55" s="23"/>
      <c r="C55" s="23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3"/>
    </row>
    <row r="56" spans="1:36" x14ac:dyDescent="0.4">
      <c r="A56" s="23"/>
      <c r="B56" s="23"/>
      <c r="C56" s="23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3"/>
    </row>
    <row r="57" spans="1:36" x14ac:dyDescent="0.4">
      <c r="A57" s="23"/>
      <c r="B57" s="23"/>
      <c r="C57" s="23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3"/>
    </row>
    <row r="58" spans="1:36" x14ac:dyDescent="0.4">
      <c r="A58" s="23"/>
      <c r="B58" s="23"/>
      <c r="C58" s="23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3"/>
    </row>
  </sheetData>
  <sheetProtection password="EF8D" sheet="1" objects="1" scenarios="1" selectLockedCells="1"/>
  <phoneticPr fontId="3"/>
  <dataValidations count="3">
    <dataValidation type="list" allowBlank="1" showInputMessage="1" showErrorMessage="1" sqref="B6">
      <formula1>"有,無"</formula1>
    </dataValidation>
    <dataValidation type="list" allowBlank="1" showInputMessage="1" showErrorMessage="1" sqref="B4">
      <formula1>"13,20,25,40,50,75,100,150"</formula1>
    </dataValidation>
    <dataValidation type="list" allowBlank="1" showInputMessage="1" showErrorMessage="1" sqref="B3">
      <formula1>"1,2"</formula1>
    </dataValidation>
  </dataValidation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2020-04-14T07:59:35Z</cp:lastPrinted>
  <dcterms:created xsi:type="dcterms:W3CDTF">2020-03-26T10:13:21Z</dcterms:created>
  <dcterms:modified xsi:type="dcterms:W3CDTF">2020-09-09T06:51:39Z</dcterms:modified>
</cp:coreProperties>
</file>