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国民健康保険課→保険年金課\＜＜＜仮想デスクトップ\国保資格\ホームページ\R7\20250401　修正　試算\決裁用\"/>
    </mc:Choice>
  </mc:AlternateContent>
  <workbookProtection workbookAlgorithmName="SHA-512" workbookHashValue="AgJ7aQQprdjMdcztzf/n9dkNo8V7e6V2q/8Ssix2Ww3LjxXr+FE3m56N3VN4s9g+1NIbOlxaxp/+fbru60oG0Q==" workbookSaltValue="SJ26kDyuSVs6AUbYLYN1UQ==" workbookSpinCount="100000" lockStructure="1"/>
  <bookViews>
    <workbookView xWindow="2790" yWindow="0" windowWidth="20490" windowHeight="7530"/>
  </bookViews>
  <sheets>
    <sheet name="試算シート" sheetId="6" r:id="rId1"/>
    <sheet name="所得計算" sheetId="2" state="hidden" r:id="rId2"/>
    <sheet name="保険料計算" sheetId="3" state="hidden" r:id="rId3"/>
    <sheet name="料率入力欄" sheetId="4" state="hidden" r:id="rId4"/>
  </sheets>
  <definedNames>
    <definedName name="世帯主あり">#REF!</definedName>
    <definedName name="世帯主なし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4" l="1"/>
  <c r="L18" i="4"/>
  <c r="L17" i="4"/>
  <c r="L16" i="4"/>
  <c r="L15" i="4"/>
  <c r="L14" i="4"/>
  <c r="K18" i="4"/>
  <c r="K19" i="4"/>
  <c r="K17" i="4"/>
  <c r="K16" i="4"/>
  <c r="K15" i="4"/>
  <c r="K14" i="4"/>
  <c r="J22" i="4"/>
  <c r="J21" i="4"/>
  <c r="J20" i="4"/>
  <c r="J19" i="4"/>
  <c r="J18" i="4"/>
  <c r="J17" i="4"/>
  <c r="J16" i="4"/>
  <c r="J15" i="4"/>
  <c r="J14" i="4"/>
  <c r="B26" i="3" l="1"/>
  <c r="B25" i="3"/>
  <c r="B24" i="3"/>
  <c r="B22" i="3"/>
  <c r="B18" i="3"/>
  <c r="B17" i="3"/>
  <c r="B16" i="3"/>
  <c r="B10" i="3"/>
  <c r="B9" i="3"/>
  <c r="B8" i="3"/>
  <c r="C2" i="3"/>
  <c r="O17" i="2"/>
  <c r="N17" i="2"/>
  <c r="K17" i="2"/>
  <c r="J17" i="2"/>
  <c r="I17" i="2"/>
  <c r="H17" i="2"/>
  <c r="G17" i="2"/>
  <c r="F17" i="2"/>
  <c r="E17" i="2"/>
  <c r="D17" i="2"/>
  <c r="C17" i="2"/>
  <c r="B17" i="2"/>
  <c r="O16" i="2"/>
  <c r="N16" i="2"/>
  <c r="K16" i="2"/>
  <c r="J16" i="2"/>
  <c r="I16" i="2"/>
  <c r="H16" i="2"/>
  <c r="G16" i="2"/>
  <c r="F16" i="2"/>
  <c r="E16" i="2"/>
  <c r="D16" i="2"/>
  <c r="C16" i="2"/>
  <c r="B16" i="2"/>
  <c r="O15" i="2"/>
  <c r="N15" i="2"/>
  <c r="K15" i="2"/>
  <c r="J15" i="2"/>
  <c r="I15" i="2"/>
  <c r="H15" i="2"/>
  <c r="G15" i="2"/>
  <c r="F15" i="2"/>
  <c r="E15" i="2"/>
  <c r="D15" i="2"/>
  <c r="C15" i="2"/>
  <c r="B15" i="2"/>
  <c r="N14" i="2"/>
  <c r="K14" i="2"/>
  <c r="J14" i="2"/>
  <c r="I14" i="2"/>
  <c r="H14" i="2"/>
  <c r="G14" i="2"/>
  <c r="F14" i="2"/>
  <c r="E14" i="2"/>
  <c r="D14" i="2"/>
  <c r="C14" i="2"/>
  <c r="B14" i="2"/>
  <c r="N13" i="2"/>
  <c r="K13" i="2"/>
  <c r="J13" i="2"/>
  <c r="I13" i="2"/>
  <c r="H13" i="2"/>
  <c r="G13" i="2"/>
  <c r="F13" i="2"/>
  <c r="E13" i="2"/>
  <c r="D13" i="2"/>
  <c r="C13" i="2"/>
  <c r="B13" i="2"/>
  <c r="N12" i="2"/>
  <c r="K12" i="2"/>
  <c r="J12" i="2"/>
  <c r="I12" i="2"/>
  <c r="H12" i="2"/>
  <c r="G12" i="2"/>
  <c r="F12" i="2"/>
  <c r="E12" i="2"/>
  <c r="D12" i="2"/>
  <c r="C12" i="2"/>
  <c r="B12" i="2"/>
  <c r="K8" i="2"/>
  <c r="J8" i="2"/>
  <c r="I8" i="2"/>
  <c r="H8" i="2"/>
  <c r="G8" i="2"/>
  <c r="F8" i="2"/>
  <c r="E8" i="2"/>
  <c r="D8" i="2"/>
  <c r="C8" i="2"/>
  <c r="B8" i="2"/>
  <c r="K7" i="2"/>
  <c r="J7" i="2"/>
  <c r="I7" i="2"/>
  <c r="H7" i="2"/>
  <c r="G7" i="2"/>
  <c r="F7" i="2"/>
  <c r="E7" i="2"/>
  <c r="D7" i="2"/>
  <c r="C7" i="2"/>
  <c r="B7" i="2"/>
  <c r="K6" i="2"/>
  <c r="J6" i="2"/>
  <c r="I6" i="2"/>
  <c r="H6" i="2"/>
  <c r="G6" i="2"/>
  <c r="F6" i="2"/>
  <c r="E6" i="2"/>
  <c r="D6" i="2"/>
  <c r="C6" i="2"/>
  <c r="B6" i="2"/>
  <c r="K5" i="2"/>
  <c r="J5" i="2"/>
  <c r="I5" i="2"/>
  <c r="H5" i="2"/>
  <c r="G5" i="2"/>
  <c r="F5" i="2"/>
  <c r="E5" i="2"/>
  <c r="D5" i="2"/>
  <c r="C5" i="2"/>
  <c r="B5" i="2"/>
  <c r="K4" i="2"/>
  <c r="J4" i="2"/>
  <c r="I4" i="2"/>
  <c r="H4" i="2"/>
  <c r="G4" i="2"/>
  <c r="F4" i="2"/>
  <c r="E4" i="2"/>
  <c r="D4" i="2"/>
  <c r="C4" i="2"/>
  <c r="B4" i="2"/>
  <c r="K3" i="2"/>
  <c r="J3" i="2"/>
  <c r="I3" i="2"/>
  <c r="H3" i="2"/>
  <c r="G3" i="2"/>
  <c r="F3" i="2"/>
  <c r="E3" i="2"/>
  <c r="D3" i="2"/>
  <c r="C3" i="2"/>
  <c r="B3" i="2"/>
  <c r="I50" i="6" l="1"/>
  <c r="G50" i="6"/>
  <c r="E50" i="6"/>
  <c r="K19" i="6"/>
  <c r="K20" i="6"/>
  <c r="K21" i="6"/>
  <c r="B2" i="3" l="1"/>
  <c r="L6" i="2" l="1"/>
  <c r="L16" i="2" l="1"/>
  <c r="I20" i="6" s="1"/>
  <c r="L13" i="2"/>
  <c r="I17" i="6" s="1"/>
  <c r="L15" i="2"/>
  <c r="I19" i="6" s="1"/>
  <c r="L7" i="2"/>
  <c r="L4" i="2"/>
  <c r="L8" i="2"/>
  <c r="L3" i="2"/>
  <c r="L14" i="2"/>
  <c r="I18" i="6" s="1"/>
  <c r="L5" i="2"/>
  <c r="L12" i="2"/>
  <c r="I16" i="6" s="1"/>
  <c r="L17" i="2"/>
  <c r="I21" i="6" s="1"/>
  <c r="M6" i="2" l="1"/>
  <c r="H19" i="6" s="1"/>
  <c r="J19" i="6" s="1"/>
  <c r="M7" i="2"/>
  <c r="H20" i="6" s="1"/>
  <c r="J20" i="6" s="1"/>
  <c r="M4" i="2"/>
  <c r="M3" i="2"/>
  <c r="H16" i="6" s="1"/>
  <c r="M8" i="2"/>
  <c r="H21" i="6" s="1"/>
  <c r="J21" i="6" s="1"/>
  <c r="M5" i="2"/>
  <c r="H18" i="6" s="1"/>
  <c r="H17" i="6" l="1"/>
  <c r="J17" i="6" s="1"/>
  <c r="K17" i="6" s="1"/>
  <c r="O13" i="2"/>
  <c r="J18" i="6"/>
  <c r="K18" i="6" s="1"/>
  <c r="O14" i="2"/>
  <c r="J16" i="6"/>
  <c r="K16" i="6" s="1"/>
  <c r="O12" i="2"/>
  <c r="B13" i="3" l="1"/>
  <c r="B5" i="3"/>
  <c r="B21" i="3"/>
  <c r="B7" i="3"/>
  <c r="B23" i="3"/>
  <c r="B15" i="3"/>
  <c r="G31" i="6" s="1"/>
  <c r="B14" i="3"/>
  <c r="B6" i="3"/>
  <c r="O18" i="2"/>
  <c r="I31" i="6" l="1"/>
  <c r="E31" i="6"/>
  <c r="D2" i="3"/>
  <c r="E2" i="3" l="1"/>
  <c r="F2" i="3" s="1"/>
  <c r="H26" i="3"/>
  <c r="H24" i="3"/>
  <c r="H22" i="3"/>
  <c r="H18" i="3"/>
  <c r="H16" i="3"/>
  <c r="H14" i="3"/>
  <c r="D5" i="3"/>
  <c r="D26" i="3"/>
  <c r="D24" i="3"/>
  <c r="D22" i="3"/>
  <c r="D18" i="3"/>
  <c r="D16" i="3"/>
  <c r="D14" i="3"/>
  <c r="H10" i="3"/>
  <c r="H8" i="3"/>
  <c r="H6" i="3"/>
  <c r="D10" i="3"/>
  <c r="D8" i="3"/>
  <c r="D6" i="3"/>
  <c r="H25" i="3"/>
  <c r="H23" i="3"/>
  <c r="H21" i="3"/>
  <c r="H17" i="3"/>
  <c r="H15" i="3"/>
  <c r="L13" i="3"/>
  <c r="H5" i="3"/>
  <c r="D25" i="3"/>
  <c r="D23" i="3"/>
  <c r="D21" i="3"/>
  <c r="D17" i="3"/>
  <c r="D15" i="3"/>
  <c r="H13" i="3"/>
  <c r="H9" i="3"/>
  <c r="H7" i="3"/>
  <c r="L5" i="3"/>
  <c r="D13" i="3"/>
  <c r="D9" i="3"/>
  <c r="D7" i="3"/>
  <c r="P1" i="3"/>
  <c r="X1" i="3" s="1"/>
  <c r="C47" i="6" s="1"/>
  <c r="I26" i="3" l="1"/>
  <c r="I24" i="3"/>
  <c r="I22" i="3"/>
  <c r="I18" i="3"/>
  <c r="I16" i="3"/>
  <c r="I14" i="3"/>
  <c r="I13" i="3"/>
  <c r="I9" i="3"/>
  <c r="I7" i="3"/>
  <c r="M5" i="3"/>
  <c r="E15" i="3"/>
  <c r="E10" i="3"/>
  <c r="E8" i="3"/>
  <c r="E6" i="3"/>
  <c r="E5" i="3"/>
  <c r="I25" i="3"/>
  <c r="I15" i="3"/>
  <c r="M13" i="3"/>
  <c r="I10" i="3"/>
  <c r="I8" i="3"/>
  <c r="I6" i="3"/>
  <c r="I5" i="3"/>
  <c r="E26" i="3"/>
  <c r="E24" i="3"/>
  <c r="E22" i="3"/>
  <c r="E18" i="3"/>
  <c r="E14" i="3"/>
  <c r="E9" i="3"/>
  <c r="E25" i="3"/>
  <c r="E23" i="3"/>
  <c r="E21" i="3"/>
  <c r="E17" i="3"/>
  <c r="I23" i="3"/>
  <c r="I21" i="3"/>
  <c r="I17" i="3"/>
  <c r="E16" i="3"/>
  <c r="E13" i="3"/>
  <c r="E7" i="3"/>
  <c r="P2" i="3"/>
  <c r="X2" i="3" s="1"/>
  <c r="C48" i="6" s="1"/>
  <c r="H28" i="3"/>
  <c r="J26" i="3" l="1"/>
  <c r="J24" i="3"/>
  <c r="J22" i="3"/>
  <c r="J18" i="3"/>
  <c r="J16" i="3"/>
  <c r="J14" i="3"/>
  <c r="J13" i="3"/>
  <c r="J9" i="3"/>
  <c r="J7" i="3"/>
  <c r="N5" i="3"/>
  <c r="F25" i="3"/>
  <c r="F23" i="3"/>
  <c r="F21" i="3"/>
  <c r="F17" i="3"/>
  <c r="F15" i="3"/>
  <c r="F10" i="3"/>
  <c r="F8" i="3"/>
  <c r="F6" i="3"/>
  <c r="F5" i="3"/>
  <c r="F18" i="3"/>
  <c r="F9" i="3"/>
  <c r="J25" i="3"/>
  <c r="J23" i="3"/>
  <c r="J21" i="3"/>
  <c r="J17" i="3"/>
  <c r="J15" i="3"/>
  <c r="N13" i="3"/>
  <c r="J10" i="3"/>
  <c r="J8" i="3"/>
  <c r="J6" i="3"/>
  <c r="J5" i="3"/>
  <c r="F26" i="3"/>
  <c r="F24" i="3"/>
  <c r="F22" i="3"/>
  <c r="F16" i="3"/>
  <c r="F14" i="3"/>
  <c r="F13" i="3"/>
  <c r="F7" i="3"/>
  <c r="G9" i="3"/>
  <c r="G24" i="3"/>
  <c r="C13" i="3"/>
  <c r="C18" i="3"/>
  <c r="C26" i="3"/>
  <c r="G15" i="3"/>
  <c r="C21" i="3"/>
  <c r="C6" i="3"/>
  <c r="G17" i="3"/>
  <c r="G7" i="3"/>
  <c r="G22" i="3"/>
  <c r="C5" i="3"/>
  <c r="C7" i="3"/>
  <c r="C14" i="3"/>
  <c r="C22" i="3"/>
  <c r="G5" i="3"/>
  <c r="G21" i="3"/>
  <c r="G13" i="3"/>
  <c r="G26" i="3"/>
  <c r="C8" i="3"/>
  <c r="C10" i="3"/>
  <c r="G16" i="3"/>
  <c r="G6" i="3"/>
  <c r="G23" i="3"/>
  <c r="G10" i="3"/>
  <c r="C17" i="3"/>
  <c r="C23" i="3"/>
  <c r="G14" i="3"/>
  <c r="C15" i="3"/>
  <c r="C25" i="3"/>
  <c r="G18" i="3"/>
  <c r="C9" i="3"/>
  <c r="C16" i="3"/>
  <c r="C24" i="3"/>
  <c r="G8" i="3"/>
  <c r="G25" i="3"/>
  <c r="P3" i="3"/>
  <c r="X3" i="3" s="1"/>
  <c r="C49" i="6" s="1"/>
  <c r="K13" i="3"/>
  <c r="K5" i="3"/>
  <c r="I28" i="3"/>
  <c r="E39" i="6" l="1"/>
  <c r="E35" i="6"/>
  <c r="I35" i="6"/>
  <c r="I43" i="6" s="1"/>
  <c r="I52" i="6" s="1"/>
  <c r="G39" i="6"/>
  <c r="G35" i="6"/>
  <c r="G28" i="3"/>
  <c r="J28" i="3"/>
  <c r="G43" i="6" l="1"/>
  <c r="G52" i="6" s="1"/>
  <c r="E43" i="6"/>
  <c r="E52" i="6" s="1"/>
  <c r="H54" i="6" l="1"/>
</calcChain>
</file>

<file path=xl/sharedStrings.xml><?xml version="1.0" encoding="utf-8"?>
<sst xmlns="http://schemas.openxmlformats.org/spreadsheetml/2006/main" count="179" uniqueCount="125">
  <si>
    <t>給与所得</t>
    <rPh sb="0" eb="4">
      <t>キュウヨショトク</t>
    </rPh>
    <phoneticPr fontId="3"/>
  </si>
  <si>
    <t>世帯主</t>
    <rPh sb="0" eb="3">
      <t>セタイヌシ</t>
    </rPh>
    <phoneticPr fontId="3"/>
  </si>
  <si>
    <t>医療分</t>
    <rPh sb="0" eb="3">
      <t>イリョウブン</t>
    </rPh>
    <phoneticPr fontId="3"/>
  </si>
  <si>
    <t>所得割</t>
    <rPh sb="0" eb="3">
      <t>ショトクワリ</t>
    </rPh>
    <phoneticPr fontId="3"/>
  </si>
  <si>
    <t>均等割</t>
    <rPh sb="0" eb="3">
      <t>キントウワ</t>
    </rPh>
    <phoneticPr fontId="3"/>
  </si>
  <si>
    <t>平等割</t>
    <rPh sb="0" eb="3">
      <t>ビョウドウワリ</t>
    </rPh>
    <phoneticPr fontId="3"/>
  </si>
  <si>
    <t>給与所得（調整控除前）</t>
    <rPh sb="0" eb="4">
      <t>キュウヨショトク</t>
    </rPh>
    <rPh sb="5" eb="10">
      <t>チョウセイコウジョマエ</t>
    </rPh>
    <phoneticPr fontId="3"/>
  </si>
  <si>
    <t>調整控除前</t>
    <rPh sb="0" eb="4">
      <t>チョウセイコウジョ</t>
    </rPh>
    <rPh sb="4" eb="5">
      <t>マエ</t>
    </rPh>
    <phoneticPr fontId="3"/>
  </si>
  <si>
    <t>調整控除後</t>
    <rPh sb="0" eb="5">
      <t>チョウセイコウジョゴ</t>
    </rPh>
    <phoneticPr fontId="3"/>
  </si>
  <si>
    <t>給与額</t>
    <rPh sb="0" eb="3">
      <t>キュウヨガク</t>
    </rPh>
    <phoneticPr fontId="3"/>
  </si>
  <si>
    <t>551,000~1,618,999</t>
    <phoneticPr fontId="3"/>
  </si>
  <si>
    <t>1,619,000~1,619,999</t>
    <phoneticPr fontId="3"/>
  </si>
  <si>
    <t>1,620,000~1,621,999</t>
    <phoneticPr fontId="3"/>
  </si>
  <si>
    <t>1,622,000~1,623,999</t>
    <phoneticPr fontId="3"/>
  </si>
  <si>
    <t>1,624,000~1,627,999</t>
    <phoneticPr fontId="3"/>
  </si>
  <si>
    <t>1,628,000~1,803,999</t>
    <phoneticPr fontId="3"/>
  </si>
  <si>
    <t>1,804,000~3,603,999</t>
    <phoneticPr fontId="3"/>
  </si>
  <si>
    <t>3,604,000~6,599,999</t>
    <phoneticPr fontId="3"/>
  </si>
  <si>
    <t>6,600,000~8,500,000</t>
    <phoneticPr fontId="3"/>
  </si>
  <si>
    <t>8,500,001~</t>
    <phoneticPr fontId="3"/>
  </si>
  <si>
    <t>世帯員１</t>
    <rPh sb="0" eb="3">
      <t>セタイイン</t>
    </rPh>
    <phoneticPr fontId="3"/>
  </si>
  <si>
    <t>世帯員２</t>
    <rPh sb="0" eb="3">
      <t>セタイイン</t>
    </rPh>
    <phoneticPr fontId="3"/>
  </si>
  <si>
    <t>世帯員３</t>
    <rPh sb="0" eb="3">
      <t>セタイイン</t>
    </rPh>
    <phoneticPr fontId="3"/>
  </si>
  <si>
    <t>世帯員４</t>
    <rPh sb="0" eb="3">
      <t>セタイイン</t>
    </rPh>
    <phoneticPr fontId="3"/>
  </si>
  <si>
    <t>世帯員５</t>
    <rPh sb="0" eb="3">
      <t>セタイイン</t>
    </rPh>
    <phoneticPr fontId="3"/>
  </si>
  <si>
    <t>年金所得</t>
    <rPh sb="0" eb="2">
      <t>ネンキン</t>
    </rPh>
    <rPh sb="2" eb="4">
      <t>ショトク</t>
    </rPh>
    <phoneticPr fontId="3"/>
  </si>
  <si>
    <t>65歳未満　年金以外合計所得　1,000万円以下</t>
    <rPh sb="2" eb="5">
      <t>サイミマン</t>
    </rPh>
    <rPh sb="6" eb="10">
      <t>ネンキンイガイ</t>
    </rPh>
    <rPh sb="10" eb="14">
      <t>ゴウケイショトク</t>
    </rPh>
    <rPh sb="21" eb="22">
      <t>エン</t>
    </rPh>
    <rPh sb="22" eb="24">
      <t>イカ</t>
    </rPh>
    <phoneticPr fontId="3"/>
  </si>
  <si>
    <t>65歳以上　年金以外合計所得　1,000万円以下</t>
    <rPh sb="2" eb="5">
      <t>サイイジョウ</t>
    </rPh>
    <rPh sb="6" eb="10">
      <t>ネンキンイガイ</t>
    </rPh>
    <rPh sb="10" eb="14">
      <t>ゴウケイショトク</t>
    </rPh>
    <rPh sb="21" eb="22">
      <t>エン</t>
    </rPh>
    <rPh sb="22" eb="24">
      <t>イカ</t>
    </rPh>
    <phoneticPr fontId="3"/>
  </si>
  <si>
    <t>所得</t>
    <rPh sb="0" eb="2">
      <t>ショトク</t>
    </rPh>
    <phoneticPr fontId="3"/>
  </si>
  <si>
    <t>給与
所得者等か</t>
    <rPh sb="0" eb="2">
      <t>キュウヨ</t>
    </rPh>
    <rPh sb="3" eb="5">
      <t>ショトク</t>
    </rPh>
    <rPh sb="5" eb="6">
      <t>シャ</t>
    </rPh>
    <rPh sb="6" eb="7">
      <t>トウ</t>
    </rPh>
    <phoneticPr fontId="3"/>
  </si>
  <si>
    <t>軽減
判定金額</t>
    <rPh sb="0" eb="2">
      <t>ケイゲン</t>
    </rPh>
    <rPh sb="3" eb="5">
      <t>ハンテイ</t>
    </rPh>
    <rPh sb="5" eb="7">
      <t>キンガク</t>
    </rPh>
    <phoneticPr fontId="3"/>
  </si>
  <si>
    <t>年金額</t>
    <rPh sb="0" eb="3">
      <t>ネンキンガク</t>
    </rPh>
    <phoneticPr fontId="3"/>
  </si>
  <si>
    <t>～1,300,000</t>
    <phoneticPr fontId="3"/>
  </si>
  <si>
    <t>1,300,001~4,100,000</t>
    <phoneticPr fontId="3"/>
  </si>
  <si>
    <t>4,100,001~7,700,000</t>
    <phoneticPr fontId="3"/>
  </si>
  <si>
    <t>7,700,001~10,000,000</t>
    <phoneticPr fontId="3"/>
  </si>
  <si>
    <t>10,000,001~</t>
    <phoneticPr fontId="3"/>
  </si>
  <si>
    <t>～3,300,000</t>
    <phoneticPr fontId="3"/>
  </si>
  <si>
    <t>3,300,001~4,100,000</t>
    <phoneticPr fontId="3"/>
  </si>
  <si>
    <t>軽減割合</t>
    <rPh sb="0" eb="4">
      <t>ケイゲンワリアイ</t>
    </rPh>
    <phoneticPr fontId="3"/>
  </si>
  <si>
    <t>世帯
所得者数</t>
    <rPh sb="0" eb="2">
      <t>セタイ</t>
    </rPh>
    <rPh sb="3" eb="6">
      <t>ショトクシャ</t>
    </rPh>
    <rPh sb="6" eb="7">
      <t>スウ</t>
    </rPh>
    <phoneticPr fontId="3"/>
  </si>
  <si>
    <t>被保険者数</t>
    <rPh sb="0" eb="5">
      <t>ヒホケンシャスウ</t>
    </rPh>
    <phoneticPr fontId="3"/>
  </si>
  <si>
    <t>７割</t>
    <rPh sb="1" eb="2">
      <t>ワリ</t>
    </rPh>
    <phoneticPr fontId="3"/>
  </si>
  <si>
    <t>５割</t>
    <rPh sb="1" eb="2">
      <t>ワリ</t>
    </rPh>
    <phoneticPr fontId="3"/>
  </si>
  <si>
    <t>２割</t>
    <rPh sb="1" eb="2">
      <t>ワリ</t>
    </rPh>
    <phoneticPr fontId="3"/>
  </si>
  <si>
    <t>世帯</t>
    <rPh sb="0" eb="2">
      <t>セタイ</t>
    </rPh>
    <phoneticPr fontId="3"/>
  </si>
  <si>
    <t>←軽減判定所得の見直しは、ここの式を修正</t>
    <rPh sb="1" eb="5">
      <t>ケイゲンハンテイ</t>
    </rPh>
    <rPh sb="5" eb="7">
      <t>ショトク</t>
    </rPh>
    <rPh sb="8" eb="10">
      <t>ミナオ</t>
    </rPh>
    <rPh sb="16" eb="17">
      <t>シキ</t>
    </rPh>
    <rPh sb="18" eb="20">
      <t>シュウセイ</t>
    </rPh>
    <phoneticPr fontId="3"/>
  </si>
  <si>
    <t>均等割
（7割）</t>
    <rPh sb="0" eb="3">
      <t>キントウワ</t>
    </rPh>
    <rPh sb="6" eb="7">
      <t>ワリ</t>
    </rPh>
    <phoneticPr fontId="3"/>
  </si>
  <si>
    <t>均等割
（5割）</t>
    <rPh sb="0" eb="3">
      <t>キントウワ</t>
    </rPh>
    <rPh sb="6" eb="7">
      <t>ワリ</t>
    </rPh>
    <phoneticPr fontId="3"/>
  </si>
  <si>
    <t>均等割
（2割）</t>
    <rPh sb="0" eb="3">
      <t>キントウワ</t>
    </rPh>
    <rPh sb="6" eb="7">
      <t>ワリ</t>
    </rPh>
    <phoneticPr fontId="3"/>
  </si>
  <si>
    <t>均等割
（子）</t>
    <rPh sb="0" eb="3">
      <t>キントウワ</t>
    </rPh>
    <rPh sb="5" eb="6">
      <t>コ</t>
    </rPh>
    <phoneticPr fontId="3"/>
  </si>
  <si>
    <t>均等割
（子・7割）</t>
    <rPh sb="0" eb="3">
      <t>キントウワ</t>
    </rPh>
    <rPh sb="5" eb="6">
      <t>コ</t>
    </rPh>
    <rPh sb="8" eb="9">
      <t>ワリ</t>
    </rPh>
    <phoneticPr fontId="3"/>
  </si>
  <si>
    <t>均等割
（子・5割）</t>
    <rPh sb="0" eb="3">
      <t>キントウワ</t>
    </rPh>
    <rPh sb="5" eb="6">
      <t>コ</t>
    </rPh>
    <rPh sb="8" eb="9">
      <t>ワリ</t>
    </rPh>
    <phoneticPr fontId="3"/>
  </si>
  <si>
    <t>均等割
（子・2割）</t>
    <rPh sb="0" eb="3">
      <t>キントウワ</t>
    </rPh>
    <rPh sb="5" eb="6">
      <t>コ</t>
    </rPh>
    <rPh sb="8" eb="9">
      <t>ワリ</t>
    </rPh>
    <phoneticPr fontId="3"/>
  </si>
  <si>
    <t>平等割
（7割）</t>
    <rPh sb="0" eb="2">
      <t>ビョウドウ</t>
    </rPh>
    <rPh sb="2" eb="3">
      <t>ワリ</t>
    </rPh>
    <rPh sb="6" eb="7">
      <t>ワリ</t>
    </rPh>
    <phoneticPr fontId="3"/>
  </si>
  <si>
    <t>平等割
（5割）</t>
    <rPh sb="0" eb="2">
      <t>ビョウドウ</t>
    </rPh>
    <rPh sb="2" eb="3">
      <t>ワリ</t>
    </rPh>
    <rPh sb="6" eb="7">
      <t>ワリ</t>
    </rPh>
    <phoneticPr fontId="3"/>
  </si>
  <si>
    <t>平等割
（2割）</t>
    <rPh sb="0" eb="2">
      <t>ビョウドウ</t>
    </rPh>
    <rPh sb="2" eb="3">
      <t>ワリ</t>
    </rPh>
    <rPh sb="6" eb="7">
      <t>ワリ</t>
    </rPh>
    <phoneticPr fontId="3"/>
  </si>
  <si>
    <t>支援金分</t>
    <rPh sb="0" eb="3">
      <t>シエンキン</t>
    </rPh>
    <rPh sb="3" eb="4">
      <t>ブン</t>
    </rPh>
    <phoneticPr fontId="3"/>
  </si>
  <si>
    <t>介護分</t>
    <rPh sb="0" eb="2">
      <t>カイゴ</t>
    </rPh>
    <rPh sb="2" eb="3">
      <t>ブン</t>
    </rPh>
    <phoneticPr fontId="3"/>
  </si>
  <si>
    <t>軽減額</t>
    <rPh sb="0" eb="3">
      <t>ケイゲンガク</t>
    </rPh>
    <phoneticPr fontId="3"/>
  </si>
  <si>
    <t>区分（割）</t>
    <rPh sb="0" eb="2">
      <t>クブン</t>
    </rPh>
    <rPh sb="3" eb="4">
      <t>ワ</t>
    </rPh>
    <phoneticPr fontId="3"/>
  </si>
  <si>
    <t>軽減均等割額</t>
    <rPh sb="0" eb="6">
      <t>ケイゲンキントウワリガク</t>
    </rPh>
    <phoneticPr fontId="3"/>
  </si>
  <si>
    <t>子ども軽減額</t>
    <rPh sb="0" eb="1">
      <t>コ</t>
    </rPh>
    <rPh sb="3" eb="6">
      <t>ケイゲンガク</t>
    </rPh>
    <phoneticPr fontId="3"/>
  </si>
  <si>
    <t>軽減平等割額</t>
    <rPh sb="0" eb="1">
      <t>ケイ</t>
    </rPh>
    <rPh sb="2" eb="4">
      <t>ビョウドウ</t>
    </rPh>
    <rPh sb="4" eb="5">
      <t>ワリ</t>
    </rPh>
    <rPh sb="5" eb="6">
      <t>ガク</t>
    </rPh>
    <phoneticPr fontId="3"/>
  </si>
  <si>
    <t>医療</t>
    <rPh sb="0" eb="2">
      <t>イリョウ</t>
    </rPh>
    <phoneticPr fontId="3"/>
  </si>
  <si>
    <t>料率
基本料金</t>
    <rPh sb="0" eb="2">
      <t>リョウリツ</t>
    </rPh>
    <rPh sb="3" eb="7">
      <t>キホンリョウキン</t>
    </rPh>
    <phoneticPr fontId="3"/>
  </si>
  <si>
    <t>所得割率</t>
    <rPh sb="0" eb="3">
      <t>ショトクワリ</t>
    </rPh>
    <rPh sb="3" eb="4">
      <t>リツ</t>
    </rPh>
    <phoneticPr fontId="3"/>
  </si>
  <si>
    <t>均等割額</t>
    <rPh sb="0" eb="3">
      <t>キントウワ</t>
    </rPh>
    <rPh sb="3" eb="4">
      <t>ガク</t>
    </rPh>
    <phoneticPr fontId="3"/>
  </si>
  <si>
    <t>平等割額</t>
    <rPh sb="0" eb="4">
      <t>ビョウドウワリガク</t>
    </rPh>
    <phoneticPr fontId="3"/>
  </si>
  <si>
    <t>保険料限度額</t>
    <rPh sb="0" eb="6">
      <t>ホケンリョウゲンドガク</t>
    </rPh>
    <phoneticPr fontId="3"/>
  </si>
  <si>
    <t>支援金</t>
    <rPh sb="0" eb="3">
      <t>シエンキン</t>
    </rPh>
    <phoneticPr fontId="3"/>
  </si>
  <si>
    <t>介護</t>
    <rPh sb="0" eb="2">
      <t>カイゴ</t>
    </rPh>
    <phoneticPr fontId="3"/>
  </si>
  <si>
    <t>平等割と均等割は、７割軽減を適用しています。</t>
  </si>
  <si>
    <t>平等割と均等割は、５割軽減を適用しています。</t>
    <phoneticPr fontId="2"/>
  </si>
  <si>
    <t>平等割と均等割は、２割軽減を適用しています。</t>
    <phoneticPr fontId="2"/>
  </si>
  <si>
    <t>加入状況</t>
    <rPh sb="0" eb="2">
      <t>カニュウ</t>
    </rPh>
    <rPh sb="2" eb="4">
      <t>ジョウキョウ</t>
    </rPh>
    <phoneticPr fontId="2"/>
  </si>
  <si>
    <t>年齢</t>
    <rPh sb="0" eb="2">
      <t>ネンレイ</t>
    </rPh>
    <phoneticPr fontId="2"/>
  </si>
  <si>
    <t>給与収入</t>
    <rPh sb="0" eb="2">
      <t>キュウヨ</t>
    </rPh>
    <rPh sb="2" eb="4">
      <t>シュウニュウ</t>
    </rPh>
    <phoneticPr fontId="2"/>
  </si>
  <si>
    <t>年金収入</t>
    <rPh sb="0" eb="2">
      <t>ネンキン</t>
    </rPh>
    <rPh sb="2" eb="4">
      <t>シュウニュウ</t>
    </rPh>
    <phoneticPr fontId="2"/>
  </si>
  <si>
    <t>（自動計算）
給与所得</t>
    <rPh sb="1" eb="3">
      <t>ジドウ</t>
    </rPh>
    <rPh sb="3" eb="5">
      <t>ケイサン</t>
    </rPh>
    <rPh sb="7" eb="9">
      <t>キュウヨ</t>
    </rPh>
    <rPh sb="9" eb="11">
      <t>ショトク</t>
    </rPh>
    <phoneticPr fontId="2"/>
  </si>
  <si>
    <t>（自動計算）
年金所得</t>
    <rPh sb="1" eb="3">
      <t>ジドウ</t>
    </rPh>
    <rPh sb="3" eb="5">
      <t>ケイサン</t>
    </rPh>
    <rPh sb="7" eb="9">
      <t>ネンキン</t>
    </rPh>
    <rPh sb="9" eb="11">
      <t>ショトク</t>
    </rPh>
    <phoneticPr fontId="2"/>
  </si>
  <si>
    <t>（自動計算）
総所得額</t>
    <rPh sb="1" eb="3">
      <t>ジドウ</t>
    </rPh>
    <rPh sb="3" eb="5">
      <t>ケイサン</t>
    </rPh>
    <rPh sb="7" eb="11">
      <t>ソウショトクガク</t>
    </rPh>
    <phoneticPr fontId="2"/>
  </si>
  <si>
    <t>計算のもと
となる所得</t>
    <rPh sb="0" eb="2">
      <t>ケイサン</t>
    </rPh>
    <rPh sb="9" eb="11">
      <t>ショトク</t>
    </rPh>
    <phoneticPr fontId="2"/>
  </si>
  <si>
    <t>それ以外の
所得</t>
    <rPh sb="2" eb="4">
      <t>イガイ</t>
    </rPh>
    <rPh sb="6" eb="8">
      <t>ショトク</t>
    </rPh>
    <phoneticPr fontId="2"/>
  </si>
  <si>
    <t>世帯主</t>
    <rPh sb="0" eb="3">
      <t>セタイヌシ</t>
    </rPh>
    <phoneticPr fontId="2"/>
  </si>
  <si>
    <t>世帯員１</t>
    <rPh sb="0" eb="3">
      <t>セタイイン</t>
    </rPh>
    <phoneticPr fontId="2"/>
  </si>
  <si>
    <t>世帯員２</t>
    <rPh sb="0" eb="3">
      <t>セタイイン</t>
    </rPh>
    <phoneticPr fontId="2"/>
  </si>
  <si>
    <t>世帯員３</t>
    <rPh sb="0" eb="3">
      <t>セタイイン</t>
    </rPh>
    <phoneticPr fontId="2"/>
  </si>
  <si>
    <t>世帯員４</t>
    <rPh sb="0" eb="3">
      <t>セタイイン</t>
    </rPh>
    <phoneticPr fontId="2"/>
  </si>
  <si>
    <t>世帯員５</t>
    <rPh sb="0" eb="3">
      <t>セタイイン</t>
    </rPh>
    <phoneticPr fontId="2"/>
  </si>
  <si>
    <t>世帯主及び世帯員の加入状況、年齢、収入又は所得金額を入力してください。</t>
    <rPh sb="0" eb="3">
      <t>セタイヌシ</t>
    </rPh>
    <rPh sb="3" eb="4">
      <t>オヨ</t>
    </rPh>
    <rPh sb="5" eb="8">
      <t>セタイイン</t>
    </rPh>
    <rPh sb="9" eb="11">
      <t>カニュウ</t>
    </rPh>
    <rPh sb="11" eb="13">
      <t>ジョウキョウ</t>
    </rPh>
    <rPh sb="14" eb="16">
      <t>ネンレイ</t>
    </rPh>
    <rPh sb="17" eb="19">
      <t>シュウニュウ</t>
    </rPh>
    <rPh sb="19" eb="20">
      <t>マタ</t>
    </rPh>
    <rPh sb="21" eb="23">
      <t>ショトク</t>
    </rPh>
    <rPh sb="23" eb="25">
      <t>キンガク</t>
    </rPh>
    <rPh sb="26" eb="28">
      <t>ニュウリョク</t>
    </rPh>
    <phoneticPr fontId="2"/>
  </si>
  <si>
    <t>▼　計算結果　▼</t>
    <rPh sb="2" eb="4">
      <t>ケイサン</t>
    </rPh>
    <rPh sb="4" eb="6">
      <t>ケッカ</t>
    </rPh>
    <phoneticPr fontId="2"/>
  </si>
  <si>
    <t>医療分</t>
    <rPh sb="0" eb="2">
      <t>イリョウ</t>
    </rPh>
    <rPh sb="2" eb="3">
      <t>ブン</t>
    </rPh>
    <phoneticPr fontId="2"/>
  </si>
  <si>
    <t>後期高齢者
支援金分</t>
    <rPh sb="0" eb="2">
      <t>コウキ</t>
    </rPh>
    <rPh sb="2" eb="5">
      <t>コウレイシャ</t>
    </rPh>
    <rPh sb="6" eb="9">
      <t>シエンキン</t>
    </rPh>
    <rPh sb="9" eb="10">
      <t>ブン</t>
    </rPh>
    <phoneticPr fontId="2"/>
  </si>
  <si>
    <t>介護分
（４０歳～６４歳までの人）</t>
    <rPh sb="0" eb="2">
      <t>カイゴ</t>
    </rPh>
    <rPh sb="2" eb="3">
      <t>ブン</t>
    </rPh>
    <rPh sb="7" eb="8">
      <t>サイ</t>
    </rPh>
    <rPh sb="11" eb="12">
      <t>サイ</t>
    </rPh>
    <rPh sb="15" eb="16">
      <t>ヒト</t>
    </rPh>
    <phoneticPr fontId="2"/>
  </si>
  <si>
    <t>所得割額</t>
    <rPh sb="0" eb="2">
      <t>ショトク</t>
    </rPh>
    <rPh sb="2" eb="3">
      <t>ワリ</t>
    </rPh>
    <rPh sb="3" eb="4">
      <t>ガク</t>
    </rPh>
    <phoneticPr fontId="2"/>
  </si>
  <si>
    <t>均等割額</t>
    <rPh sb="0" eb="3">
      <t>キントウワ</t>
    </rPh>
    <rPh sb="3" eb="4">
      <t>ガク</t>
    </rPh>
    <phoneticPr fontId="2"/>
  </si>
  <si>
    <t>平等割額</t>
    <rPh sb="0" eb="2">
      <t>ビョウドウ</t>
    </rPh>
    <rPh sb="2" eb="3">
      <t>ワリ</t>
    </rPh>
    <rPh sb="3" eb="4">
      <t>ガク</t>
    </rPh>
    <phoneticPr fontId="2"/>
  </si>
  <si>
    <t>合計額
（賦課限度額　適用前）</t>
    <rPh sb="0" eb="2">
      <t>ゴウケイ</t>
    </rPh>
    <rPh sb="2" eb="3">
      <t>ガク</t>
    </rPh>
    <rPh sb="5" eb="7">
      <t>フカ</t>
    </rPh>
    <rPh sb="7" eb="9">
      <t>ゲンド</t>
    </rPh>
    <rPh sb="9" eb="10">
      <t>ガク</t>
    </rPh>
    <rPh sb="11" eb="13">
      <t>テキヨウ</t>
    </rPh>
    <rPh sb="13" eb="14">
      <t>マエ</t>
    </rPh>
    <phoneticPr fontId="2"/>
  </si>
  <si>
    <t>合計額
（賦課限度額　適用後）</t>
    <rPh sb="0" eb="2">
      <t>ゴウケイ</t>
    </rPh>
    <rPh sb="2" eb="3">
      <t>ガク</t>
    </rPh>
    <rPh sb="5" eb="7">
      <t>フカ</t>
    </rPh>
    <rPh sb="7" eb="9">
      <t>ゲンド</t>
    </rPh>
    <rPh sb="9" eb="10">
      <t>ガク</t>
    </rPh>
    <rPh sb="11" eb="13">
      <t>テキヨウ</t>
    </rPh>
    <rPh sb="13" eb="14">
      <t>ゴ</t>
    </rPh>
    <phoneticPr fontId="2"/>
  </si>
  <si>
    <t>年間保険料額（１２か月分）</t>
    <rPh sb="0" eb="2">
      <t>ネンカン</t>
    </rPh>
    <rPh sb="2" eb="5">
      <t>ホケンリョウ</t>
    </rPh>
    <rPh sb="5" eb="6">
      <t>ガク</t>
    </rPh>
    <rPh sb="10" eb="11">
      <t>ゲツ</t>
    </rPh>
    <rPh sb="11" eb="12">
      <t>ブン</t>
    </rPh>
    <phoneticPr fontId="2"/>
  </si>
  <si>
    <t>※　年間保険料額は、入力していただいた加入者全員分の４月から翌年３月までの保険料試算額です。</t>
    <rPh sb="2" eb="4">
      <t>ネンカン</t>
    </rPh>
    <rPh sb="4" eb="7">
      <t>ホケンリョウ</t>
    </rPh>
    <rPh sb="7" eb="8">
      <t>ガク</t>
    </rPh>
    <rPh sb="10" eb="12">
      <t>ニュウリョク</t>
    </rPh>
    <rPh sb="19" eb="22">
      <t>カニュウシャ</t>
    </rPh>
    <rPh sb="22" eb="24">
      <t>ゼンイン</t>
    </rPh>
    <rPh sb="24" eb="25">
      <t>ブン</t>
    </rPh>
    <rPh sb="27" eb="28">
      <t>ガツ</t>
    </rPh>
    <rPh sb="30" eb="32">
      <t>ヨクネン</t>
    </rPh>
    <rPh sb="33" eb="34">
      <t>ガツ</t>
    </rPh>
    <rPh sb="37" eb="40">
      <t>ホケンリョウ</t>
    </rPh>
    <rPh sb="40" eb="42">
      <t>シサン</t>
    </rPh>
    <rPh sb="42" eb="43">
      <t>ガク</t>
    </rPh>
    <phoneticPr fontId="2"/>
  </si>
  <si>
    <t>【上記結果はあくまでも試算であり、実際の保険料額と異なる場合があります。】</t>
    <rPh sb="1" eb="3">
      <t>ジョウキ</t>
    </rPh>
    <rPh sb="3" eb="5">
      <t>ケッカ</t>
    </rPh>
    <rPh sb="11" eb="13">
      <t>シサン</t>
    </rPh>
    <rPh sb="17" eb="19">
      <t>ジッサイ</t>
    </rPh>
    <rPh sb="20" eb="23">
      <t>ホケンリョウ</t>
    </rPh>
    <rPh sb="23" eb="24">
      <t>ガク</t>
    </rPh>
    <rPh sb="25" eb="26">
      <t>コト</t>
    </rPh>
    <rPh sb="28" eb="30">
      <t>バアイ</t>
    </rPh>
    <phoneticPr fontId="2"/>
  </si>
  <si>
    <t>賦課限度額</t>
    <rPh sb="0" eb="2">
      <t>フカ</t>
    </rPh>
    <rPh sb="2" eb="4">
      <t>ゲンド</t>
    </rPh>
    <rPh sb="4" eb="5">
      <t>ガク</t>
    </rPh>
    <phoneticPr fontId="2"/>
  </si>
  <si>
    <t>・世帯主および世帯員の「加入状況（◯または×）」および「年齢」について入力してください。</t>
    <rPh sb="1" eb="4">
      <t>セタイヌシ</t>
    </rPh>
    <rPh sb="7" eb="10">
      <t>セタイイン</t>
    </rPh>
    <rPh sb="12" eb="14">
      <t>カニュウ</t>
    </rPh>
    <rPh sb="14" eb="16">
      <t>ジョウキョウ</t>
    </rPh>
    <rPh sb="28" eb="30">
      <t>ネンレイ</t>
    </rPh>
    <rPh sb="35" eb="37">
      <t>ニュウリョク</t>
    </rPh>
    <phoneticPr fontId="2"/>
  </si>
  <si>
    <t>・世帯主については、国保に加入されない場合であっても必ず入力してください。</t>
    <rPh sb="1" eb="4">
      <t>セタイヌシ</t>
    </rPh>
    <rPh sb="10" eb="12">
      <t>コクホ</t>
    </rPh>
    <rPh sb="13" eb="15">
      <t>カニュウ</t>
    </rPh>
    <rPh sb="19" eb="21">
      <t>バアイ</t>
    </rPh>
    <rPh sb="26" eb="27">
      <t>カナラ</t>
    </rPh>
    <rPh sb="28" eb="30">
      <t>ニュウリョク</t>
    </rPh>
    <phoneticPr fontId="2"/>
  </si>
  <si>
    <t>・収入がない場合、ゼロを入力してください。</t>
    <rPh sb="1" eb="3">
      <t>シュウニュウ</t>
    </rPh>
    <rPh sb="6" eb="8">
      <t>バアイ</t>
    </rPh>
    <rPh sb="12" eb="14">
      <t>ニュウリョク</t>
    </rPh>
    <phoneticPr fontId="2"/>
  </si>
  <si>
    <t>・障害年金・遺族年金は非課税年金のため、入力不要です。</t>
    <rPh sb="1" eb="3">
      <t>ショウガイ</t>
    </rPh>
    <rPh sb="3" eb="5">
      <t>ネンキン</t>
    </rPh>
    <rPh sb="6" eb="8">
      <t>イゾク</t>
    </rPh>
    <rPh sb="8" eb="10">
      <t>ネンキン</t>
    </rPh>
    <rPh sb="11" eb="14">
      <t>ヒカゼイ</t>
    </rPh>
    <rPh sb="14" eb="16">
      <t>ネンキン</t>
    </rPh>
    <rPh sb="20" eb="22">
      <t>ニュウリョク</t>
    </rPh>
    <rPh sb="22" eb="24">
      <t>フヨウ</t>
    </rPh>
    <phoneticPr fontId="2"/>
  </si>
  <si>
    <t>※次の方がいる世帯では正しく計算できません。</t>
    <rPh sb="1" eb="2">
      <t>ツギ</t>
    </rPh>
    <rPh sb="3" eb="4">
      <t>カタ</t>
    </rPh>
    <rPh sb="7" eb="9">
      <t>セタイ</t>
    </rPh>
    <rPh sb="11" eb="12">
      <t>タダ</t>
    </rPh>
    <rPh sb="14" eb="16">
      <t>ケイサン</t>
    </rPh>
    <phoneticPr fontId="2"/>
  </si>
  <si>
    <t>・専従者給与・控除等がある方</t>
    <rPh sb="1" eb="4">
      <t>センジュウシャ</t>
    </rPh>
    <rPh sb="4" eb="6">
      <t>キュウヨ</t>
    </rPh>
    <rPh sb="7" eb="9">
      <t>コウジョ</t>
    </rPh>
    <rPh sb="9" eb="10">
      <t>トウ</t>
    </rPh>
    <rPh sb="13" eb="14">
      <t>カタ</t>
    </rPh>
    <phoneticPr fontId="2"/>
  </si>
  <si>
    <t>・分離課税所得（土地建物・株式の譲渡所得等）がある方</t>
    <rPh sb="1" eb="3">
      <t>ブンリ</t>
    </rPh>
    <rPh sb="3" eb="5">
      <t>カゼイ</t>
    </rPh>
    <rPh sb="5" eb="7">
      <t>ショトク</t>
    </rPh>
    <rPh sb="8" eb="10">
      <t>トチ</t>
    </rPh>
    <rPh sb="10" eb="12">
      <t>タテモノ</t>
    </rPh>
    <rPh sb="13" eb="15">
      <t>カブシキ</t>
    </rPh>
    <rPh sb="16" eb="17">
      <t>ユズ</t>
    </rPh>
    <rPh sb="17" eb="18">
      <t>ワタ</t>
    </rPh>
    <rPh sb="18" eb="20">
      <t>ショトク</t>
    </rPh>
    <rPh sb="20" eb="21">
      <t>トウ</t>
    </rPh>
    <rPh sb="25" eb="26">
      <t>カタ</t>
    </rPh>
    <phoneticPr fontId="2"/>
  </si>
  <si>
    <t>・給与収入が８５０万円を超え、調整控除を受けている方</t>
    <rPh sb="1" eb="3">
      <t>キュウヨ</t>
    </rPh>
    <rPh sb="3" eb="5">
      <t>シュウニュウ</t>
    </rPh>
    <rPh sb="9" eb="11">
      <t>マンエン</t>
    </rPh>
    <rPh sb="12" eb="13">
      <t>コ</t>
    </rPh>
    <rPh sb="15" eb="17">
      <t>チョウセイ</t>
    </rPh>
    <rPh sb="17" eb="19">
      <t>コウジョ</t>
    </rPh>
    <rPh sb="20" eb="21">
      <t>ウ</t>
    </rPh>
    <rPh sb="25" eb="26">
      <t>カタ</t>
    </rPh>
    <phoneticPr fontId="2"/>
  </si>
  <si>
    <t>・繰越損失がある方</t>
    <rPh sb="1" eb="3">
      <t>クリコシ</t>
    </rPh>
    <rPh sb="3" eb="5">
      <t>ソンシツ</t>
    </rPh>
    <rPh sb="8" eb="9">
      <t>カタ</t>
    </rPh>
    <phoneticPr fontId="2"/>
  </si>
  <si>
    <t>・保険料の減免が適用になる方</t>
    <rPh sb="1" eb="4">
      <t>ホケンリョウ</t>
    </rPh>
    <rPh sb="5" eb="7">
      <t>ゲンメン</t>
    </rPh>
    <rPh sb="8" eb="10">
      <t>テキヨウ</t>
    </rPh>
    <rPh sb="13" eb="14">
      <t>カタ</t>
    </rPh>
    <phoneticPr fontId="2"/>
  </si>
  <si>
    <t>・非自発的失業者に対する軽減措置に該当する方</t>
    <rPh sb="1" eb="2">
      <t>ヒ</t>
    </rPh>
    <rPh sb="2" eb="4">
      <t>ジハツ</t>
    </rPh>
    <rPh sb="4" eb="5">
      <t>テキ</t>
    </rPh>
    <rPh sb="5" eb="8">
      <t>シツギョウシャ</t>
    </rPh>
    <rPh sb="9" eb="10">
      <t>タイ</t>
    </rPh>
    <rPh sb="12" eb="14">
      <t>ケイゲン</t>
    </rPh>
    <rPh sb="14" eb="16">
      <t>ソチ</t>
    </rPh>
    <rPh sb="17" eb="19">
      <t>ガイトウ</t>
    </rPh>
    <rPh sb="21" eb="22">
      <t>カタ</t>
    </rPh>
    <phoneticPr fontId="2"/>
  </si>
  <si>
    <t>・産前産後期間に係る軽減措置に該当する方</t>
    <rPh sb="1" eb="3">
      <t>サンゼン</t>
    </rPh>
    <rPh sb="3" eb="5">
      <t>サンゴ</t>
    </rPh>
    <rPh sb="5" eb="7">
      <t>キカン</t>
    </rPh>
    <rPh sb="8" eb="9">
      <t>カカ</t>
    </rPh>
    <rPh sb="10" eb="12">
      <t>ケイゲン</t>
    </rPh>
    <rPh sb="12" eb="14">
      <t>ソチ</t>
    </rPh>
    <rPh sb="15" eb="17">
      <t>ガイトウ</t>
    </rPh>
    <rPh sb="19" eb="20">
      <t>カタ</t>
    </rPh>
    <phoneticPr fontId="2"/>
  </si>
  <si>
    <t>令和7年度　国民健康保険料の試算</t>
    <rPh sb="0" eb="2">
      <t>レイワ</t>
    </rPh>
    <rPh sb="3" eb="4">
      <t>ネン</t>
    </rPh>
    <rPh sb="4" eb="5">
      <t>ド</t>
    </rPh>
    <rPh sb="6" eb="8">
      <t>コクミン</t>
    </rPh>
    <rPh sb="8" eb="10">
      <t>ケンコウ</t>
    </rPh>
    <rPh sb="10" eb="13">
      <t>ホケンリョウ</t>
    </rPh>
    <rPh sb="14" eb="16">
      <t>シサン</t>
    </rPh>
    <phoneticPr fontId="2"/>
  </si>
  <si>
    <t>・令和７年４月から令和８年３月の間に７歳・４０歳・６５歳・７５歳になる方</t>
    <rPh sb="1" eb="3">
      <t>レイワ</t>
    </rPh>
    <rPh sb="4" eb="5">
      <t>ネン</t>
    </rPh>
    <rPh sb="6" eb="7">
      <t>ガツ</t>
    </rPh>
    <rPh sb="9" eb="11">
      <t>レイワ</t>
    </rPh>
    <rPh sb="12" eb="13">
      <t>ネン</t>
    </rPh>
    <rPh sb="14" eb="15">
      <t>ガツ</t>
    </rPh>
    <rPh sb="16" eb="17">
      <t>アイダ</t>
    </rPh>
    <rPh sb="19" eb="20">
      <t>サイ</t>
    </rPh>
    <rPh sb="23" eb="24">
      <t>サイ</t>
    </rPh>
    <rPh sb="27" eb="28">
      <t>サイ</t>
    </rPh>
    <rPh sb="31" eb="32">
      <t>サイ</t>
    </rPh>
    <rPh sb="35" eb="36">
      <t>カタ</t>
    </rPh>
    <phoneticPr fontId="2"/>
  </si>
  <si>
    <t>・令和７年４月から令和８年３月の間に加入・脱退される方</t>
    <rPh sb="1" eb="3">
      <t>レイワ</t>
    </rPh>
    <rPh sb="4" eb="5">
      <t>ネン</t>
    </rPh>
    <rPh sb="6" eb="7">
      <t>ガツ</t>
    </rPh>
    <rPh sb="9" eb="11">
      <t>レイワ</t>
    </rPh>
    <rPh sb="12" eb="13">
      <t>ネン</t>
    </rPh>
    <rPh sb="14" eb="15">
      <t>ガツ</t>
    </rPh>
    <rPh sb="16" eb="17">
      <t>アイダ</t>
    </rPh>
    <rPh sb="18" eb="20">
      <t>カニュウ</t>
    </rPh>
    <rPh sb="21" eb="23">
      <t>ダッタイ</t>
    </rPh>
    <rPh sb="26" eb="27">
      <t>カタ</t>
    </rPh>
    <phoneticPr fontId="2"/>
  </si>
  <si>
    <t>※ 年齢は令和７年１月１日時点の年齢を入力してください。</t>
    <rPh sb="2" eb="4">
      <t>ネンレイ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ジテン</t>
    </rPh>
    <rPh sb="16" eb="18">
      <t>ネンレイ</t>
    </rPh>
    <rPh sb="19" eb="21">
      <t>ニュウリョク</t>
    </rPh>
    <phoneticPr fontId="2"/>
  </si>
  <si>
    <t>※ 収入・所得金額は令和６年１月１日～令和６年１２月３１日の金額を入力してください。</t>
    <rPh sb="2" eb="4">
      <t>シュウニュウ</t>
    </rPh>
    <rPh sb="5" eb="7">
      <t>ショトク</t>
    </rPh>
    <rPh sb="7" eb="9">
      <t>キンガク</t>
    </rPh>
    <rPh sb="10" eb="12">
      <t>レイワ</t>
    </rPh>
    <rPh sb="13" eb="14">
      <t>ネン</t>
    </rPh>
    <rPh sb="15" eb="16">
      <t>ガツ</t>
    </rPh>
    <rPh sb="17" eb="18">
      <t>ニチ</t>
    </rPh>
    <rPh sb="19" eb="21">
      <t>レイワ</t>
    </rPh>
    <rPh sb="22" eb="23">
      <t>ネン</t>
    </rPh>
    <rPh sb="25" eb="26">
      <t>ガツ</t>
    </rPh>
    <rPh sb="28" eb="29">
      <t>ニチ</t>
    </rPh>
    <rPh sb="30" eb="32">
      <t>キンガク</t>
    </rPh>
    <rPh sb="33" eb="35">
      <t>ニュウリョク</t>
    </rPh>
    <phoneticPr fontId="2"/>
  </si>
  <si>
    <t>切り上げ</t>
    <rPh sb="0" eb="1">
      <t>キ</t>
    </rPh>
    <rPh sb="2" eb="3">
      <t>ア</t>
    </rPh>
    <phoneticPr fontId="2"/>
  </si>
  <si>
    <t>切り捨て</t>
    <rPh sb="0" eb="1">
      <t>キ</t>
    </rPh>
    <rPh sb="2" eb="3">
      <t>ス</t>
    </rPh>
    <phoneticPr fontId="2"/>
  </si>
  <si>
    <t>・世帯主および世帯員の令和6年中の「給与収入」、「年金収入」、「それ以外の所得」を入力してください。</t>
    <rPh sb="1" eb="4">
      <t>セタイヌシ</t>
    </rPh>
    <rPh sb="7" eb="10">
      <t>セタイイン</t>
    </rPh>
    <rPh sb="11" eb="13">
      <t>レイワ</t>
    </rPh>
    <rPh sb="14" eb="15">
      <t>ネン</t>
    </rPh>
    <rPh sb="15" eb="16">
      <t>チュウ</t>
    </rPh>
    <rPh sb="18" eb="20">
      <t>キュウヨ</t>
    </rPh>
    <rPh sb="20" eb="22">
      <t>シュウニュウ</t>
    </rPh>
    <rPh sb="25" eb="27">
      <t>ネンキン</t>
    </rPh>
    <rPh sb="27" eb="29">
      <t>シュウニュウ</t>
    </rPh>
    <rPh sb="34" eb="36">
      <t>イガイ</t>
    </rPh>
    <rPh sb="37" eb="39">
      <t>ショトク</t>
    </rPh>
    <rPh sb="41" eb="43">
      <t>ニュウリョク</t>
    </rPh>
    <phoneticPr fontId="2"/>
  </si>
  <si>
    <t>※　賦課限度額は、医療分650,000円、後期支援金分240,000円、介護分170,000円です。</t>
    <rPh sb="2" eb="4">
      <t>フカ</t>
    </rPh>
    <rPh sb="4" eb="6">
      <t>ゲンド</t>
    </rPh>
    <rPh sb="6" eb="7">
      <t>ガク</t>
    </rPh>
    <rPh sb="9" eb="11">
      <t>イリョウ</t>
    </rPh>
    <rPh sb="11" eb="12">
      <t>ブン</t>
    </rPh>
    <rPh sb="19" eb="20">
      <t>エン</t>
    </rPh>
    <rPh sb="21" eb="23">
      <t>コウキ</t>
    </rPh>
    <rPh sb="23" eb="26">
      <t>シエンキン</t>
    </rPh>
    <rPh sb="26" eb="27">
      <t>ブン</t>
    </rPh>
    <rPh sb="34" eb="35">
      <t>エン</t>
    </rPh>
    <rPh sb="36" eb="38">
      <t>カイゴ</t>
    </rPh>
    <rPh sb="38" eb="39">
      <t>ブン</t>
    </rPh>
    <rPh sb="46" eb="47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</si>
</sst>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#,##0_);[Red]\(#,##0\)"/>
    <numFmt numFmtId="177" formatCode="#,##0&quot;円&quot;"/>
    <numFmt numFmtId="178" formatCode="#,##0_ "/>
    <numFmt numFmtId="179" formatCode="0.0000_);[Red]\(0.0000\)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scheme val="minor"/>
    </font>
    <font>
      <sz val="20"/>
      <color theme="1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2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2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22"/>
      <name val="游ゴシック"/>
      <family val="2"/>
      <scheme val="minor"/>
    </font>
    <font>
      <b/>
      <sz val="12"/>
      <color rgb="FFFF0000"/>
      <name val="HG丸ｺﾞｼｯｸM-PRO"/>
      <family val="3"/>
      <charset val="128"/>
    </font>
    <font>
      <sz val="2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28"/>
      <color rgb="FFFF0000"/>
      <name val="游ゴシック"/>
      <family val="3"/>
      <charset val="128"/>
      <scheme val="minor"/>
    </font>
    <font>
      <b/>
      <sz val="28"/>
      <color theme="1"/>
      <name val="BIZ UDP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A87D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7" fillId="0" borderId="0"/>
    <xf numFmtId="6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8" fillId="3" borderId="1" xfId="0" applyFont="1" applyFill="1" applyBorder="1" applyAlignment="1">
      <alignment horizontal="center"/>
    </xf>
    <xf numFmtId="0" fontId="0" fillId="0" borderId="0" xfId="0" applyAlignment="1"/>
    <xf numFmtId="0" fontId="9" fillId="3" borderId="4" xfId="0" applyNumberFormat="1" applyFont="1" applyFill="1" applyBorder="1" applyAlignment="1">
      <alignment horizontal="center" vertical="center"/>
    </xf>
    <xf numFmtId="0" fontId="9" fillId="3" borderId="5" xfId="0" applyNumberFormat="1" applyFont="1" applyFill="1" applyBorder="1" applyAlignment="1">
      <alignment horizontal="center" vertical="center"/>
    </xf>
    <xf numFmtId="3" fontId="9" fillId="3" borderId="5" xfId="0" applyNumberFormat="1" applyFont="1" applyFill="1" applyBorder="1" applyAlignment="1">
      <alignment horizontal="center" vertical="center"/>
    </xf>
    <xf numFmtId="0" fontId="9" fillId="3" borderId="6" xfId="0" applyNumberFormat="1" applyFont="1" applyFill="1" applyBorder="1" applyAlignment="1">
      <alignment horizontal="center" vertical="center"/>
    </xf>
    <xf numFmtId="176" fontId="10" fillId="0" borderId="23" xfId="0" applyNumberFormat="1" applyFont="1" applyBorder="1" applyAlignment="1">
      <alignment horizontal="right"/>
    </xf>
    <xf numFmtId="176" fontId="10" fillId="0" borderId="8" xfId="0" applyNumberFormat="1" applyFont="1" applyBorder="1" applyAlignment="1">
      <alignment horizontal="right"/>
    </xf>
    <xf numFmtId="176" fontId="10" fillId="0" borderId="24" xfId="0" applyNumberFormat="1" applyFont="1" applyBorder="1" applyAlignment="1">
      <alignment horizontal="right"/>
    </xf>
    <xf numFmtId="176" fontId="8" fillId="2" borderId="3" xfId="0" applyNumberFormat="1" applyFont="1" applyFill="1" applyBorder="1" applyAlignment="1"/>
    <xf numFmtId="176" fontId="8" fillId="2" borderId="1" xfId="0" applyNumberFormat="1" applyFont="1" applyFill="1" applyBorder="1" applyAlignment="1"/>
    <xf numFmtId="176" fontId="10" fillId="0" borderId="12" xfId="0" applyNumberFormat="1" applyFont="1" applyBorder="1" applyAlignment="1">
      <alignment horizontal="right"/>
    </xf>
    <xf numFmtId="176" fontId="10" fillId="0" borderId="14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1" fillId="0" borderId="0" xfId="0" applyFont="1" applyAlignment="1"/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3" fontId="9" fillId="3" borderId="9" xfId="0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178" fontId="10" fillId="0" borderId="32" xfId="0" applyNumberFormat="1" applyFont="1" applyBorder="1" applyAlignment="1">
      <alignment horizontal="right"/>
    </xf>
    <xf numFmtId="178" fontId="10" fillId="0" borderId="8" xfId="0" applyNumberFormat="1" applyFont="1" applyBorder="1" applyAlignment="1">
      <alignment horizontal="right"/>
    </xf>
    <xf numFmtId="178" fontId="10" fillId="0" borderId="24" xfId="0" applyNumberFormat="1" applyFont="1" applyBorder="1" applyAlignment="1">
      <alignment horizontal="right"/>
    </xf>
    <xf numFmtId="178" fontId="10" fillId="0" borderId="23" xfId="0" applyNumberFormat="1" applyFont="1" applyBorder="1" applyAlignment="1">
      <alignment horizontal="right"/>
    </xf>
    <xf numFmtId="178" fontId="8" fillId="2" borderId="1" xfId="0" applyNumberFormat="1" applyFont="1" applyFill="1" applyBorder="1" applyAlignment="1"/>
    <xf numFmtId="178" fontId="8" fillId="2" borderId="1" xfId="0" applyNumberFormat="1" applyFont="1" applyFill="1" applyBorder="1" applyAlignment="1">
      <alignment horizontal="center"/>
    </xf>
    <xf numFmtId="176" fontId="8" fillId="2" borderId="1" xfId="0" applyNumberFormat="1" applyFont="1" applyFill="1" applyBorder="1" applyAlignment="1">
      <alignment horizontal="right" vertical="center"/>
    </xf>
    <xf numFmtId="178" fontId="10" fillId="0" borderId="33" xfId="0" applyNumberFormat="1" applyFont="1" applyBorder="1" applyAlignment="1">
      <alignment horizontal="right"/>
    </xf>
    <xf numFmtId="178" fontId="10" fillId="0" borderId="12" xfId="0" applyNumberFormat="1" applyFont="1" applyBorder="1" applyAlignment="1">
      <alignment horizontal="right"/>
    </xf>
    <xf numFmtId="178" fontId="10" fillId="0" borderId="14" xfId="0" applyNumberFormat="1" applyFont="1" applyBorder="1" applyAlignment="1">
      <alignment horizontal="right"/>
    </xf>
    <xf numFmtId="178" fontId="10" fillId="0" borderId="25" xfId="0" applyNumberFormat="1" applyFont="1" applyBorder="1" applyAlignment="1">
      <alignment horizontal="right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/>
    <xf numFmtId="0" fontId="8" fillId="3" borderId="22" xfId="0" applyFont="1" applyFill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176" fontId="12" fillId="0" borderId="36" xfId="0" applyNumberFormat="1" applyFont="1" applyBorder="1" applyAlignment="1">
      <alignment horizontal="right" vertical="center"/>
    </xf>
    <xf numFmtId="176" fontId="12" fillId="0" borderId="7" xfId="0" applyNumberFormat="1" applyFont="1" applyBorder="1" applyAlignment="1">
      <alignment horizontal="right" vertical="center"/>
    </xf>
    <xf numFmtId="176" fontId="12" fillId="0" borderId="9" xfId="0" applyNumberFormat="1" applyFont="1" applyBorder="1" applyAlignment="1">
      <alignment horizontal="right" vertical="center"/>
    </xf>
    <xf numFmtId="176" fontId="12" fillId="0" borderId="10" xfId="0" applyNumberFormat="1" applyFont="1" applyBorder="1" applyAlignment="1">
      <alignment horizontal="right" vertical="center"/>
    </xf>
    <xf numFmtId="176" fontId="12" fillId="0" borderId="11" xfId="0" applyNumberFormat="1" applyFont="1" applyBorder="1" applyAlignment="1">
      <alignment horizontal="right" vertical="center"/>
    </xf>
    <xf numFmtId="176" fontId="12" fillId="0" borderId="13" xfId="0" applyNumberFormat="1" applyFont="1" applyBorder="1" applyAlignment="1">
      <alignment horizontal="right" vertical="center"/>
    </xf>
    <xf numFmtId="176" fontId="12" fillId="0" borderId="35" xfId="0" applyNumberFormat="1" applyFont="1" applyBorder="1" applyAlignment="1">
      <alignment horizontal="right" vertical="center"/>
    </xf>
    <xf numFmtId="176" fontId="12" fillId="0" borderId="0" xfId="0" applyNumberFormat="1" applyFont="1" applyAlignment="1">
      <alignment horizontal="right" vertical="center"/>
    </xf>
    <xf numFmtId="0" fontId="13" fillId="0" borderId="0" xfId="0" applyFont="1" applyAlignment="1"/>
    <xf numFmtId="0" fontId="14" fillId="0" borderId="0" xfId="0" applyFont="1" applyAlignment="1">
      <alignment vertical="center"/>
    </xf>
    <xf numFmtId="0" fontId="15" fillId="3" borderId="8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38" fontId="16" fillId="2" borderId="8" xfId="2" applyNumberFormat="1" applyFont="1" applyFill="1" applyBorder="1" applyAlignment="1" applyProtection="1">
      <protection locked="0"/>
    </xf>
    <xf numFmtId="38" fontId="16" fillId="2" borderId="8" xfId="1" applyNumberFormat="1" applyFont="1" applyFill="1" applyBorder="1" applyAlignment="1" applyProtection="1">
      <protection locked="0"/>
    </xf>
    <xf numFmtId="0" fontId="15" fillId="3" borderId="8" xfId="0" applyFont="1" applyFill="1" applyBorder="1" applyAlignment="1">
      <alignment horizontal="center" vertical="center" wrapText="1"/>
    </xf>
    <xf numFmtId="179" fontId="16" fillId="2" borderId="8" xfId="0" applyNumberFormat="1" applyFont="1" applyFill="1" applyBorder="1" applyAlignment="1" applyProtection="1">
      <alignment vertical="center"/>
      <protection locked="0"/>
    </xf>
    <xf numFmtId="176" fontId="16" fillId="2" borderId="8" xfId="0" applyNumberFormat="1" applyFont="1" applyFill="1" applyBorder="1" applyAlignment="1" applyProtection="1">
      <alignment vertical="center"/>
      <protection locked="0"/>
    </xf>
    <xf numFmtId="176" fontId="16" fillId="3" borderId="37" xfId="0" applyNumberFormat="1" applyFont="1" applyFill="1" applyBorder="1" applyAlignment="1">
      <alignment vertical="center"/>
    </xf>
    <xf numFmtId="38" fontId="16" fillId="3" borderId="37" xfId="2" applyNumberFormat="1" applyFont="1" applyFill="1" applyBorder="1" applyAlignment="1"/>
    <xf numFmtId="38" fontId="14" fillId="0" borderId="0" xfId="2" applyNumberFormat="1" applyFont="1" applyAlignment="1"/>
    <xf numFmtId="0" fontId="15" fillId="0" borderId="0" xfId="0" applyFont="1" applyAlignment="1">
      <alignment horizontal="center" vertical="center"/>
    </xf>
    <xf numFmtId="38" fontId="13" fillId="0" borderId="0" xfId="2" applyNumberFormat="1" applyFont="1" applyAlignment="1"/>
    <xf numFmtId="0" fontId="8" fillId="3" borderId="20" xfId="0" applyFont="1" applyFill="1" applyBorder="1" applyAlignment="1">
      <alignment horizontal="center" vertical="center"/>
    </xf>
    <xf numFmtId="176" fontId="10" fillId="0" borderId="25" xfId="0" applyNumberFormat="1" applyFont="1" applyBorder="1" applyAlignment="1">
      <alignment horizontal="right"/>
    </xf>
    <xf numFmtId="176" fontId="12" fillId="0" borderId="22" xfId="0" applyNumberFormat="1" applyFont="1" applyBorder="1" applyAlignment="1">
      <alignment horizontal="right" vertical="center"/>
    </xf>
    <xf numFmtId="176" fontId="18" fillId="0" borderId="36" xfId="0" applyNumberFormat="1" applyFont="1" applyBorder="1" applyAlignment="1">
      <alignment horizontal="right" vertical="center"/>
    </xf>
    <xf numFmtId="176" fontId="18" fillId="0" borderId="7" xfId="0" applyNumberFormat="1" applyFont="1" applyBorder="1" applyAlignment="1">
      <alignment horizontal="right" vertical="center"/>
    </xf>
    <xf numFmtId="176" fontId="18" fillId="0" borderId="9" xfId="0" applyNumberFormat="1" applyFont="1" applyBorder="1" applyAlignment="1">
      <alignment horizontal="right" vertical="center"/>
    </xf>
    <xf numFmtId="176" fontId="18" fillId="0" borderId="10" xfId="0" applyNumberFormat="1" applyFont="1" applyBorder="1" applyAlignment="1">
      <alignment horizontal="right" vertical="center"/>
    </xf>
    <xf numFmtId="176" fontId="18" fillId="0" borderId="22" xfId="0" applyNumberFormat="1" applyFont="1" applyBorder="1" applyAlignment="1">
      <alignment horizontal="right" vertical="center"/>
    </xf>
    <xf numFmtId="176" fontId="18" fillId="0" borderId="11" xfId="0" applyNumberFormat="1" applyFont="1" applyBorder="1" applyAlignment="1">
      <alignment horizontal="right" vertical="center"/>
    </xf>
    <xf numFmtId="176" fontId="18" fillId="0" borderId="13" xfId="0" applyNumberFormat="1" applyFont="1" applyBorder="1" applyAlignment="1">
      <alignment horizontal="right" vertical="center"/>
    </xf>
    <xf numFmtId="176" fontId="18" fillId="0" borderId="35" xfId="0" applyNumberFormat="1" applyFont="1" applyBorder="1" applyAlignment="1">
      <alignment horizontal="right" vertical="center"/>
    </xf>
    <xf numFmtId="0" fontId="18" fillId="0" borderId="29" xfId="0" applyFont="1" applyBorder="1" applyAlignment="1"/>
    <xf numFmtId="0" fontId="18" fillId="0" borderId="27" xfId="0" applyFont="1" applyBorder="1" applyAlignment="1"/>
    <xf numFmtId="0" fontId="18" fillId="0" borderId="28" xfId="0" applyFont="1" applyBorder="1" applyAlignment="1"/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1" fillId="0" borderId="0" xfId="0" applyFont="1" applyBorder="1" applyAlignment="1">
      <alignment vertical="center" wrapText="1"/>
    </xf>
    <xf numFmtId="0" fontId="20" fillId="0" borderId="0" xfId="0" applyFont="1" applyFill="1" applyAlignment="1"/>
    <xf numFmtId="0" fontId="21" fillId="0" borderId="0" xfId="0" applyFont="1" applyBorder="1" applyAlignment="1">
      <alignment vertical="center"/>
    </xf>
    <xf numFmtId="0" fontId="23" fillId="5" borderId="4" xfId="0" applyFont="1" applyFill="1" applyBorder="1" applyAlignment="1" applyProtection="1">
      <alignment horizontal="center" vertical="center"/>
      <protection locked="0"/>
    </xf>
    <xf numFmtId="0" fontId="22" fillId="5" borderId="5" xfId="0" applyFont="1" applyFill="1" applyBorder="1" applyAlignment="1" applyProtection="1">
      <alignment horizontal="center" vertical="center"/>
      <protection locked="0"/>
    </xf>
    <xf numFmtId="0" fontId="22" fillId="5" borderId="8" xfId="0" applyFont="1" applyFill="1" applyBorder="1" applyAlignment="1" applyProtection="1">
      <alignment horizontal="center" vertical="center"/>
      <protection locked="0"/>
    </xf>
    <xf numFmtId="0" fontId="22" fillId="5" borderId="12" xfId="0" applyFont="1" applyFill="1" applyBorder="1" applyAlignment="1" applyProtection="1">
      <alignment horizontal="center" vertical="center"/>
      <protection locked="0"/>
    </xf>
    <xf numFmtId="0" fontId="15" fillId="0" borderId="0" xfId="0" applyFont="1">
      <alignment vertical="center"/>
    </xf>
    <xf numFmtId="38" fontId="0" fillId="0" borderId="0" xfId="1" applyFont="1">
      <alignment vertical="center"/>
    </xf>
    <xf numFmtId="0" fontId="4" fillId="0" borderId="0" xfId="0" applyFont="1">
      <alignment vertical="center"/>
    </xf>
    <xf numFmtId="0" fontId="24" fillId="0" borderId="0" xfId="0" applyFont="1">
      <alignment vertical="center"/>
    </xf>
    <xf numFmtId="38" fontId="23" fillId="2" borderId="5" xfId="1" applyFont="1" applyFill="1" applyBorder="1" applyAlignment="1" applyProtection="1">
      <alignment horizontal="right" vertical="center"/>
      <protection locked="0"/>
    </xf>
    <xf numFmtId="38" fontId="23" fillId="2" borderId="6" xfId="1" applyFont="1" applyFill="1" applyBorder="1" applyAlignment="1" applyProtection="1">
      <alignment horizontal="right" vertical="center"/>
      <protection locked="0"/>
    </xf>
    <xf numFmtId="38" fontId="23" fillId="2" borderId="8" xfId="1" applyFont="1" applyFill="1" applyBorder="1" applyAlignment="1" applyProtection="1">
      <alignment horizontal="right" vertical="center"/>
      <protection locked="0"/>
    </xf>
    <xf numFmtId="38" fontId="23" fillId="2" borderId="12" xfId="1" applyFont="1" applyFill="1" applyBorder="1" applyAlignment="1" applyProtection="1">
      <alignment horizontal="right" vertical="center"/>
      <protection locked="0"/>
    </xf>
    <xf numFmtId="0" fontId="25" fillId="0" borderId="38" xfId="0" applyFont="1" applyBorder="1" applyAlignment="1">
      <alignment horizontal="center" vertical="center" wrapText="1"/>
    </xf>
    <xf numFmtId="38" fontId="4" fillId="4" borderId="36" xfId="1" applyFont="1" applyFill="1" applyBorder="1">
      <alignment vertical="center"/>
    </xf>
    <xf numFmtId="38" fontId="4" fillId="4" borderId="22" xfId="1" applyFont="1" applyFill="1" applyBorder="1">
      <alignment vertical="center"/>
    </xf>
    <xf numFmtId="38" fontId="4" fillId="4" borderId="36" xfId="1" applyFont="1" applyFill="1" applyBorder="1" applyAlignment="1">
      <alignment horizontal="right" vertical="center"/>
    </xf>
    <xf numFmtId="38" fontId="4" fillId="4" borderId="22" xfId="1" applyFont="1" applyFill="1" applyBorder="1" applyAlignment="1">
      <alignment horizontal="right" vertical="center"/>
    </xf>
    <xf numFmtId="0" fontId="24" fillId="0" borderId="29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 wrapText="1"/>
    </xf>
    <xf numFmtId="0" fontId="23" fillId="5" borderId="23" xfId="0" applyFont="1" applyFill="1" applyBorder="1" applyAlignment="1" applyProtection="1">
      <alignment horizontal="center" vertical="center"/>
      <protection locked="0"/>
    </xf>
    <xf numFmtId="38" fontId="23" fillId="2" borderId="24" xfId="1" applyFont="1" applyFill="1" applyBorder="1" applyAlignment="1" applyProtection="1">
      <alignment horizontal="right" vertical="center"/>
      <protection locked="0"/>
    </xf>
    <xf numFmtId="0" fontId="23" fillId="5" borderId="25" xfId="0" applyFont="1" applyFill="1" applyBorder="1" applyAlignment="1" applyProtection="1">
      <alignment horizontal="center" vertical="center"/>
      <protection locked="0"/>
    </xf>
    <xf numFmtId="38" fontId="23" fillId="2" borderId="14" xfId="1" applyFont="1" applyFill="1" applyBorder="1" applyAlignment="1" applyProtection="1">
      <alignment horizontal="right" vertical="center"/>
      <protection locked="0"/>
    </xf>
    <xf numFmtId="0" fontId="2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4" fillId="0" borderId="15" xfId="0" applyFont="1" applyBorder="1">
      <alignment vertical="center"/>
    </xf>
    <xf numFmtId="0" fontId="0" fillId="0" borderId="16" xfId="0" applyBorder="1">
      <alignment vertical="center"/>
    </xf>
    <xf numFmtId="0" fontId="4" fillId="0" borderId="16" xfId="0" applyFont="1" applyBorder="1">
      <alignment vertical="center"/>
    </xf>
    <xf numFmtId="0" fontId="0" fillId="0" borderId="39" xfId="0" applyBorder="1">
      <alignment vertical="center"/>
    </xf>
    <xf numFmtId="0" fontId="4" fillId="0" borderId="17" xfId="0" applyFont="1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0" fillId="0" borderId="40" xfId="0" applyBorder="1">
      <alignment vertical="center"/>
    </xf>
    <xf numFmtId="0" fontId="4" fillId="0" borderId="18" xfId="0" applyFont="1" applyBorder="1">
      <alignment vertical="center"/>
    </xf>
    <xf numFmtId="0" fontId="0" fillId="0" borderId="19" xfId="0" applyBorder="1">
      <alignment vertical="center"/>
    </xf>
    <xf numFmtId="0" fontId="0" fillId="0" borderId="41" xfId="0" applyBorder="1">
      <alignment vertical="center"/>
    </xf>
    <xf numFmtId="0" fontId="4" fillId="0" borderId="0" xfId="0" applyFont="1" applyAlignment="1"/>
    <xf numFmtId="0" fontId="24" fillId="0" borderId="0" xfId="0" applyFont="1" applyAlignment="1"/>
    <xf numFmtId="0" fontId="27" fillId="6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7" fontId="29" fillId="0" borderId="1" xfId="1" applyNumberFormat="1" applyFont="1" applyBorder="1" applyAlignment="1">
      <alignment horizontal="right" vertical="center"/>
    </xf>
    <xf numFmtId="0" fontId="22" fillId="0" borderId="21" xfId="0" applyFont="1" applyBorder="1" applyAlignment="1">
      <alignment horizontal="center" vertical="center"/>
    </xf>
    <xf numFmtId="177" fontId="29" fillId="0" borderId="21" xfId="1" applyNumberFormat="1" applyFont="1" applyBorder="1" applyAlignment="1">
      <alignment horizontal="right" vertical="center"/>
    </xf>
    <xf numFmtId="38" fontId="29" fillId="0" borderId="42" xfId="1" applyFont="1" applyBorder="1" applyAlignment="1">
      <alignment horizontal="right" vertical="center"/>
    </xf>
    <xf numFmtId="38" fontId="29" fillId="0" borderId="44" xfId="1" applyFont="1" applyBorder="1" applyAlignment="1">
      <alignment horizontal="right" vertical="center"/>
    </xf>
    <xf numFmtId="0" fontId="22" fillId="7" borderId="45" xfId="0" applyFont="1" applyFill="1" applyBorder="1" applyAlignment="1">
      <alignment horizontal="center" vertical="center" wrapText="1"/>
    </xf>
    <xf numFmtId="0" fontId="22" fillId="7" borderId="45" xfId="0" applyFont="1" applyFill="1" applyBorder="1" applyAlignment="1">
      <alignment horizontal="center" vertical="center"/>
    </xf>
    <xf numFmtId="0" fontId="22" fillId="7" borderId="46" xfId="0" applyFont="1" applyFill="1" applyBorder="1" applyAlignment="1">
      <alignment horizontal="center" vertical="center"/>
    </xf>
    <xf numFmtId="0" fontId="22" fillId="7" borderId="47" xfId="0" applyFont="1" applyFill="1" applyBorder="1" applyAlignment="1">
      <alignment horizontal="center" vertical="center"/>
    </xf>
    <xf numFmtId="177" fontId="29" fillId="7" borderId="45" xfId="0" applyNumberFormat="1" applyFont="1" applyFill="1" applyBorder="1" applyAlignment="1">
      <alignment horizontal="right" vertical="center"/>
    </xf>
    <xf numFmtId="177" fontId="29" fillId="7" borderId="46" xfId="0" applyNumberFormat="1" applyFont="1" applyFill="1" applyBorder="1" applyAlignment="1">
      <alignment horizontal="right" vertical="center"/>
    </xf>
    <xf numFmtId="177" fontId="29" fillId="7" borderId="47" xfId="0" applyNumberFormat="1" applyFont="1" applyFill="1" applyBorder="1" applyAlignment="1">
      <alignment horizontal="right" vertical="center"/>
    </xf>
    <xf numFmtId="177" fontId="29" fillId="7" borderId="45" xfId="1" applyNumberFormat="1" applyFont="1" applyFill="1" applyBorder="1" applyAlignment="1">
      <alignment horizontal="right" vertical="center"/>
    </xf>
    <xf numFmtId="177" fontId="29" fillId="7" borderId="46" xfId="1" applyNumberFormat="1" applyFont="1" applyFill="1" applyBorder="1" applyAlignment="1">
      <alignment horizontal="right" vertical="center"/>
    </xf>
    <xf numFmtId="177" fontId="29" fillId="7" borderId="47" xfId="1" applyNumberFormat="1" applyFont="1" applyFill="1" applyBorder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1" applyNumberFormat="1" applyFont="1" applyBorder="1" applyAlignment="1">
      <alignment horizontal="right" vertical="center"/>
    </xf>
    <xf numFmtId="0" fontId="22" fillId="9" borderId="48" xfId="0" applyFont="1" applyFill="1" applyBorder="1" applyAlignment="1">
      <alignment horizontal="center" vertical="center" wrapText="1"/>
    </xf>
    <xf numFmtId="0" fontId="22" fillId="9" borderId="48" xfId="0" applyFont="1" applyFill="1" applyBorder="1" applyAlignment="1">
      <alignment horizontal="center" vertical="center"/>
    </xf>
    <xf numFmtId="177" fontId="29" fillId="9" borderId="48" xfId="1" applyNumberFormat="1" applyFont="1" applyFill="1" applyBorder="1" applyAlignment="1">
      <alignment horizontal="right" vertical="center"/>
    </xf>
    <xf numFmtId="0" fontId="29" fillId="0" borderId="8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177" fontId="29" fillId="8" borderId="49" xfId="0" applyNumberFormat="1" applyFont="1" applyFill="1" applyBorder="1" applyAlignment="1">
      <alignment horizontal="right" vertical="center"/>
    </xf>
    <xf numFmtId="177" fontId="29" fillId="8" borderId="50" xfId="0" applyNumberFormat="1" applyFont="1" applyFill="1" applyBorder="1" applyAlignment="1">
      <alignment horizontal="right" vertical="center"/>
    </xf>
    <xf numFmtId="177" fontId="29" fillId="8" borderId="51" xfId="0" applyNumberFormat="1" applyFont="1" applyFill="1" applyBorder="1" applyAlignment="1">
      <alignment horizontal="right" vertical="center"/>
    </xf>
    <xf numFmtId="177" fontId="29" fillId="8" borderId="52" xfId="0" applyNumberFormat="1" applyFont="1" applyFill="1" applyBorder="1" applyAlignment="1">
      <alignment horizontal="right" vertical="center"/>
    </xf>
    <xf numFmtId="177" fontId="29" fillId="8" borderId="8" xfId="0" applyNumberFormat="1" applyFont="1" applyFill="1" applyBorder="1" applyAlignment="1">
      <alignment horizontal="right" vertical="center"/>
    </xf>
    <xf numFmtId="177" fontId="29" fillId="8" borderId="53" xfId="0" applyNumberFormat="1" applyFont="1" applyFill="1" applyBorder="1" applyAlignment="1">
      <alignment horizontal="right" vertical="center"/>
    </xf>
    <xf numFmtId="177" fontId="29" fillId="8" borderId="54" xfId="0" applyNumberFormat="1" applyFont="1" applyFill="1" applyBorder="1" applyAlignment="1">
      <alignment horizontal="right" vertical="center"/>
    </xf>
    <xf numFmtId="177" fontId="29" fillId="8" borderId="55" xfId="0" applyNumberFormat="1" applyFont="1" applyFill="1" applyBorder="1" applyAlignment="1">
      <alignment horizontal="right" vertical="center"/>
    </xf>
    <xf numFmtId="177" fontId="29" fillId="8" borderId="56" xfId="0" applyNumberFormat="1" applyFont="1" applyFill="1" applyBorder="1" applyAlignment="1">
      <alignment horizontal="right" vertical="center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 vertical="center"/>
    </xf>
    <xf numFmtId="0" fontId="8" fillId="3" borderId="27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29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</cellXfs>
  <cellStyles count="7">
    <cellStyle name="桁区切り" xfId="1" builtinId="6"/>
    <cellStyle name="桁区切り 2" xfId="6"/>
    <cellStyle name="通貨" xfId="2" builtinId="7"/>
    <cellStyle name="通貨 2" xfId="5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colors>
    <mruColors>
      <color rgb="FFFFA87D"/>
      <color rgb="FFFF9966"/>
      <color rgb="FFFF99FF"/>
      <color rgb="FF47C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62"/>
  <sheetViews>
    <sheetView tabSelected="1" view="pageBreakPreview" zoomScale="80" zoomScaleNormal="80" zoomScaleSheetLayoutView="80" workbookViewId="0">
      <selection activeCell="F18" sqref="F18"/>
    </sheetView>
  </sheetViews>
  <sheetFormatPr defaultRowHeight="18.75" x14ac:dyDescent="0.4"/>
  <cols>
    <col min="1" max="1" width="3.5" customWidth="1"/>
    <col min="2" max="11" width="14" customWidth="1"/>
  </cols>
  <sheetData>
    <row r="2" spans="2:11" ht="48" customHeight="1" x14ac:dyDescent="0.4">
      <c r="B2" s="132" t="s">
        <v>116</v>
      </c>
      <c r="C2" s="132"/>
      <c r="D2" s="132"/>
      <c r="E2" s="132"/>
      <c r="F2" s="132"/>
      <c r="G2" s="132"/>
      <c r="H2" s="132"/>
      <c r="I2" s="132"/>
      <c r="J2" s="132"/>
      <c r="K2" s="132"/>
    </row>
    <row r="3" spans="2:11" ht="17.25" customHeight="1" x14ac:dyDescent="0.4">
      <c r="B3" s="98" t="s">
        <v>104</v>
      </c>
    </row>
    <row r="4" spans="2:11" ht="17.25" customHeight="1" x14ac:dyDescent="0.4">
      <c r="B4" s="98" t="s">
        <v>123</v>
      </c>
    </row>
    <row r="5" spans="2:11" ht="17.25" customHeight="1" x14ac:dyDescent="0.4">
      <c r="B5" s="98" t="s">
        <v>105</v>
      </c>
    </row>
    <row r="6" spans="2:11" ht="17.25" customHeight="1" x14ac:dyDescent="0.4">
      <c r="B6" s="98" t="s">
        <v>106</v>
      </c>
    </row>
    <row r="7" spans="2:11" ht="17.25" customHeight="1" x14ac:dyDescent="0.4">
      <c r="B7" s="98" t="s">
        <v>107</v>
      </c>
    </row>
    <row r="8" spans="2:11" ht="24" customHeight="1" thickBot="1" x14ac:dyDescent="0.2">
      <c r="B8" s="130" t="s">
        <v>108</v>
      </c>
    </row>
    <row r="9" spans="2:11" ht="17.25" customHeight="1" x14ac:dyDescent="0.4">
      <c r="B9" s="119" t="s">
        <v>117</v>
      </c>
      <c r="C9" s="120"/>
      <c r="D9" s="120"/>
      <c r="E9" s="120"/>
      <c r="F9" s="120"/>
      <c r="G9" s="121" t="s">
        <v>112</v>
      </c>
      <c r="H9" s="120"/>
      <c r="I9" s="120"/>
      <c r="J9" s="122"/>
    </row>
    <row r="10" spans="2:11" ht="17.25" customHeight="1" x14ac:dyDescent="0.4">
      <c r="B10" s="123" t="s">
        <v>118</v>
      </c>
      <c r="C10" s="124"/>
      <c r="D10" s="124"/>
      <c r="E10" s="124"/>
      <c r="F10" s="124"/>
      <c r="G10" s="125" t="s">
        <v>113</v>
      </c>
      <c r="H10" s="124"/>
      <c r="I10" s="124"/>
      <c r="J10" s="126"/>
    </row>
    <row r="11" spans="2:11" ht="17.25" customHeight="1" x14ac:dyDescent="0.4">
      <c r="B11" s="123" t="s">
        <v>109</v>
      </c>
      <c r="C11" s="124"/>
      <c r="D11" s="124"/>
      <c r="E11" s="124"/>
      <c r="F11" s="124"/>
      <c r="G11" s="125" t="s">
        <v>114</v>
      </c>
      <c r="H11" s="124"/>
      <c r="I11" s="124"/>
      <c r="J11" s="126"/>
    </row>
    <row r="12" spans="2:11" ht="17.25" customHeight="1" x14ac:dyDescent="0.4">
      <c r="B12" s="123" t="s">
        <v>110</v>
      </c>
      <c r="C12" s="124"/>
      <c r="D12" s="124"/>
      <c r="E12" s="124"/>
      <c r="F12" s="124"/>
      <c r="G12" s="125" t="s">
        <v>115</v>
      </c>
      <c r="H12" s="124"/>
      <c r="I12" s="124"/>
      <c r="J12" s="126"/>
    </row>
    <row r="13" spans="2:11" ht="17.25" customHeight="1" thickBot="1" x14ac:dyDescent="0.45">
      <c r="B13" s="127" t="s">
        <v>111</v>
      </c>
      <c r="C13" s="128"/>
      <c r="D13" s="128"/>
      <c r="E13" s="128"/>
      <c r="F13" s="128"/>
      <c r="G13" s="128"/>
      <c r="H13" s="128"/>
      <c r="I13" s="128"/>
      <c r="J13" s="129"/>
    </row>
    <row r="14" spans="2:11" ht="57" customHeight="1" thickBot="1" x14ac:dyDescent="0.2">
      <c r="B14" s="99"/>
      <c r="C14" s="131" t="s">
        <v>90</v>
      </c>
      <c r="D14" s="99"/>
      <c r="E14" s="99"/>
      <c r="F14" s="99"/>
      <c r="G14" s="99"/>
      <c r="H14" s="99"/>
      <c r="I14" s="99"/>
      <c r="J14" s="99"/>
      <c r="K14" s="99"/>
    </row>
    <row r="15" spans="2:11" ht="27.75" thickBot="1" x14ac:dyDescent="0.45">
      <c r="B15" s="99"/>
      <c r="C15" s="109" t="s">
        <v>75</v>
      </c>
      <c r="D15" s="110" t="s">
        <v>76</v>
      </c>
      <c r="E15" s="110" t="s">
        <v>77</v>
      </c>
      <c r="F15" s="110" t="s">
        <v>78</v>
      </c>
      <c r="G15" s="111" t="s">
        <v>83</v>
      </c>
      <c r="H15" s="104" t="s">
        <v>79</v>
      </c>
      <c r="I15" s="104" t="s">
        <v>80</v>
      </c>
      <c r="J15" s="104" t="s">
        <v>81</v>
      </c>
      <c r="K15" s="104" t="s">
        <v>82</v>
      </c>
    </row>
    <row r="16" spans="2:11" ht="24" customHeight="1" thickBot="1" x14ac:dyDescent="0.45">
      <c r="B16" s="116" t="s">
        <v>84</v>
      </c>
      <c r="C16" s="92"/>
      <c r="D16" s="93"/>
      <c r="E16" s="100"/>
      <c r="F16" s="100"/>
      <c r="G16" s="101"/>
      <c r="H16" s="105">
        <f>所得計算!M3</f>
        <v>0</v>
      </c>
      <c r="I16" s="105">
        <f>所得計算!L12</f>
        <v>0</v>
      </c>
      <c r="J16" s="105">
        <f>SUM(G16:I16)</f>
        <v>0</v>
      </c>
      <c r="K16" s="107" t="str">
        <f>IF(C16="〇",MAX(J16-430000,0),"0")</f>
        <v>0</v>
      </c>
    </row>
    <row r="17" spans="2:11" ht="24" customHeight="1" thickBot="1" x14ac:dyDescent="0.45">
      <c r="B17" s="116" t="s">
        <v>85</v>
      </c>
      <c r="C17" s="112"/>
      <c r="D17" s="94"/>
      <c r="E17" s="102"/>
      <c r="F17" s="102"/>
      <c r="G17" s="113"/>
      <c r="H17" s="105">
        <f>所得計算!M4</f>
        <v>0</v>
      </c>
      <c r="I17" s="105">
        <f>所得計算!L13</f>
        <v>0</v>
      </c>
      <c r="J17" s="105">
        <f t="shared" ref="J17:J21" si="0">SUM(G17:I17)</f>
        <v>0</v>
      </c>
      <c r="K17" s="107" t="str">
        <f>IF(C17="〇",MAX(J17-430000,0),"0")</f>
        <v>0</v>
      </c>
    </row>
    <row r="18" spans="2:11" ht="24" customHeight="1" thickBot="1" x14ac:dyDescent="0.45">
      <c r="B18" s="116" t="s">
        <v>86</v>
      </c>
      <c r="C18" s="112"/>
      <c r="D18" s="94"/>
      <c r="E18" s="102"/>
      <c r="F18" s="102"/>
      <c r="G18" s="113"/>
      <c r="H18" s="105">
        <f>所得計算!M5</f>
        <v>0</v>
      </c>
      <c r="I18" s="105">
        <f>所得計算!L14</f>
        <v>0</v>
      </c>
      <c r="J18" s="105">
        <f t="shared" si="0"/>
        <v>0</v>
      </c>
      <c r="K18" s="107" t="str">
        <f t="shared" ref="K18:K21" si="1">IF(C18="〇",MAX(J18-430000,0),"0")</f>
        <v>0</v>
      </c>
    </row>
    <row r="19" spans="2:11" ht="24" customHeight="1" thickBot="1" x14ac:dyDescent="0.45">
      <c r="B19" s="116" t="s">
        <v>87</v>
      </c>
      <c r="C19" s="112"/>
      <c r="D19" s="94"/>
      <c r="E19" s="102"/>
      <c r="F19" s="102"/>
      <c r="G19" s="113"/>
      <c r="H19" s="105">
        <f>所得計算!M6</f>
        <v>0</v>
      </c>
      <c r="I19" s="105">
        <f>所得計算!L15</f>
        <v>0</v>
      </c>
      <c r="J19" s="105">
        <f t="shared" si="0"/>
        <v>0</v>
      </c>
      <c r="K19" s="107" t="str">
        <f t="shared" si="1"/>
        <v>0</v>
      </c>
    </row>
    <row r="20" spans="2:11" ht="24" customHeight="1" thickBot="1" x14ac:dyDescent="0.45">
      <c r="B20" s="116" t="s">
        <v>88</v>
      </c>
      <c r="C20" s="112"/>
      <c r="D20" s="94"/>
      <c r="E20" s="102"/>
      <c r="F20" s="102"/>
      <c r="G20" s="113"/>
      <c r="H20" s="105">
        <f>所得計算!M7</f>
        <v>0</v>
      </c>
      <c r="I20" s="105">
        <f>所得計算!L16</f>
        <v>0</v>
      </c>
      <c r="J20" s="105">
        <f t="shared" si="0"/>
        <v>0</v>
      </c>
      <c r="K20" s="107" t="str">
        <f t="shared" si="1"/>
        <v>0</v>
      </c>
    </row>
    <row r="21" spans="2:11" ht="24" customHeight="1" thickBot="1" x14ac:dyDescent="0.45">
      <c r="B21" s="116" t="s">
        <v>89</v>
      </c>
      <c r="C21" s="114"/>
      <c r="D21" s="95"/>
      <c r="E21" s="103"/>
      <c r="F21" s="103"/>
      <c r="G21" s="115"/>
      <c r="H21" s="106">
        <f>所得計算!M8</f>
        <v>0</v>
      </c>
      <c r="I21" s="106">
        <f>所得計算!L17</f>
        <v>0</v>
      </c>
      <c r="J21" s="106">
        <f t="shared" si="0"/>
        <v>0</v>
      </c>
      <c r="K21" s="108" t="str">
        <f t="shared" si="1"/>
        <v>0</v>
      </c>
    </row>
    <row r="22" spans="2:11" ht="21" customHeight="1" x14ac:dyDescent="0.4">
      <c r="D22" s="99" t="s">
        <v>119</v>
      </c>
    </row>
    <row r="23" spans="2:11" ht="21" customHeight="1" x14ac:dyDescent="0.4">
      <c r="D23" s="99" t="s">
        <v>120</v>
      </c>
    </row>
    <row r="24" spans="2:11" ht="25.5" customHeight="1" x14ac:dyDescent="0.4">
      <c r="C24" s="133" t="s">
        <v>91</v>
      </c>
      <c r="D24" s="133"/>
      <c r="E24" s="133"/>
      <c r="F24" s="133"/>
      <c r="G24" s="133"/>
      <c r="H24" s="133"/>
      <c r="I24" s="133"/>
      <c r="J24" s="133"/>
    </row>
    <row r="25" spans="2:11" ht="25.5" customHeight="1" x14ac:dyDescent="0.4">
      <c r="C25" s="133"/>
      <c r="D25" s="133"/>
      <c r="E25" s="133"/>
      <c r="F25" s="133"/>
      <c r="G25" s="133"/>
      <c r="H25" s="133"/>
      <c r="I25" s="133"/>
      <c r="J25" s="133"/>
    </row>
    <row r="26" spans="2:11" ht="25.5" customHeight="1" thickBot="1" x14ac:dyDescent="0.45">
      <c r="C26" s="133"/>
      <c r="D26" s="133"/>
      <c r="E26" s="133"/>
      <c r="F26" s="133"/>
      <c r="G26" s="133"/>
      <c r="H26" s="133"/>
      <c r="I26" s="133"/>
      <c r="J26" s="133"/>
    </row>
    <row r="27" spans="2:11" ht="12" customHeight="1" thickBot="1" x14ac:dyDescent="0.45">
      <c r="C27" s="134"/>
      <c r="D27" s="134"/>
      <c r="E27" s="135" t="s">
        <v>92</v>
      </c>
      <c r="F27" s="135"/>
      <c r="G27" s="136" t="s">
        <v>93</v>
      </c>
      <c r="H27" s="135"/>
      <c r="I27" s="136" t="s">
        <v>94</v>
      </c>
      <c r="J27" s="135"/>
    </row>
    <row r="28" spans="2:11" ht="12" customHeight="1" thickBot="1" x14ac:dyDescent="0.45">
      <c r="C28" s="134"/>
      <c r="D28" s="134"/>
      <c r="E28" s="135"/>
      <c r="F28" s="135"/>
      <c r="G28" s="135"/>
      <c r="H28" s="135"/>
      <c r="I28" s="135"/>
      <c r="J28" s="135"/>
    </row>
    <row r="29" spans="2:11" ht="12" customHeight="1" thickBot="1" x14ac:dyDescent="0.45">
      <c r="C29" s="134"/>
      <c r="D29" s="134"/>
      <c r="E29" s="135"/>
      <c r="F29" s="135"/>
      <c r="G29" s="135"/>
      <c r="H29" s="135"/>
      <c r="I29" s="135"/>
      <c r="J29" s="135"/>
    </row>
    <row r="30" spans="2:11" ht="12" customHeight="1" thickBot="1" x14ac:dyDescent="0.45">
      <c r="C30" s="134"/>
      <c r="D30" s="134"/>
      <c r="E30" s="135"/>
      <c r="F30" s="135"/>
      <c r="G30" s="135"/>
      <c r="H30" s="135"/>
      <c r="I30" s="135"/>
      <c r="J30" s="135"/>
    </row>
    <row r="31" spans="2:11" ht="12.75" customHeight="1" thickBot="1" x14ac:dyDescent="0.45">
      <c r="C31" s="135" t="s">
        <v>95</v>
      </c>
      <c r="D31" s="135"/>
      <c r="E31" s="137">
        <f>SUM(保険料計算!B5:B10)</f>
        <v>0</v>
      </c>
      <c r="F31" s="137"/>
      <c r="G31" s="137">
        <f>SUM(保険料計算!B13:B18)</f>
        <v>0</v>
      </c>
      <c r="H31" s="137"/>
      <c r="I31" s="137">
        <f>SUM(保険料計算!B21:B26)</f>
        <v>0</v>
      </c>
      <c r="J31" s="137"/>
    </row>
    <row r="32" spans="2:11" ht="12.75" customHeight="1" thickBot="1" x14ac:dyDescent="0.45">
      <c r="C32" s="135"/>
      <c r="D32" s="135"/>
      <c r="E32" s="137"/>
      <c r="F32" s="137"/>
      <c r="G32" s="137"/>
      <c r="H32" s="137"/>
      <c r="I32" s="137"/>
      <c r="J32" s="137"/>
    </row>
    <row r="33" spans="3:11" ht="12.75" customHeight="1" thickBot="1" x14ac:dyDescent="0.45">
      <c r="C33" s="135"/>
      <c r="D33" s="135"/>
      <c r="E33" s="137"/>
      <c r="F33" s="137"/>
      <c r="G33" s="137"/>
      <c r="H33" s="137"/>
      <c r="I33" s="137"/>
      <c r="J33" s="137"/>
    </row>
    <row r="34" spans="3:11" ht="12.75" customHeight="1" thickBot="1" x14ac:dyDescent="0.45">
      <c r="C34" s="135"/>
      <c r="D34" s="135"/>
      <c r="E34" s="137"/>
      <c r="F34" s="137"/>
      <c r="G34" s="137"/>
      <c r="H34" s="137"/>
      <c r="I34" s="137"/>
      <c r="J34" s="137"/>
    </row>
    <row r="35" spans="3:11" ht="12.75" customHeight="1" thickBot="1" x14ac:dyDescent="0.45">
      <c r="C35" s="135" t="s">
        <v>96</v>
      </c>
      <c r="D35" s="135"/>
      <c r="E35" s="137">
        <f>SUM(保険料計算!C5:J10)</f>
        <v>0</v>
      </c>
      <c r="F35" s="137"/>
      <c r="G35" s="137">
        <f>SUM(保険料計算!C13:J18)</f>
        <v>0</v>
      </c>
      <c r="H35" s="137"/>
      <c r="I35" s="137">
        <f>SUM(保険料計算!C21:F26)</f>
        <v>0</v>
      </c>
      <c r="J35" s="137"/>
    </row>
    <row r="36" spans="3:11" ht="12.75" customHeight="1" thickBot="1" x14ac:dyDescent="0.45">
      <c r="C36" s="135"/>
      <c r="D36" s="135"/>
      <c r="E36" s="137"/>
      <c r="F36" s="137"/>
      <c r="G36" s="137"/>
      <c r="H36" s="137"/>
      <c r="I36" s="137"/>
      <c r="J36" s="137"/>
    </row>
    <row r="37" spans="3:11" ht="12.75" customHeight="1" thickBot="1" x14ac:dyDescent="0.45">
      <c r="C37" s="135"/>
      <c r="D37" s="135"/>
      <c r="E37" s="137"/>
      <c r="F37" s="137"/>
      <c r="G37" s="137"/>
      <c r="H37" s="137"/>
      <c r="I37" s="137"/>
      <c r="J37" s="137"/>
    </row>
    <row r="38" spans="3:11" ht="12.75" customHeight="1" thickBot="1" x14ac:dyDescent="0.45">
      <c r="C38" s="135"/>
      <c r="D38" s="135"/>
      <c r="E38" s="137"/>
      <c r="F38" s="137"/>
      <c r="G38" s="137"/>
      <c r="H38" s="137"/>
      <c r="I38" s="137"/>
      <c r="J38" s="137"/>
    </row>
    <row r="39" spans="3:11" ht="12.75" customHeight="1" thickBot="1" x14ac:dyDescent="0.45">
      <c r="C39" s="135" t="s">
        <v>97</v>
      </c>
      <c r="D39" s="135"/>
      <c r="E39" s="137">
        <f>SUM(保険料計算!K5:N5)</f>
        <v>0</v>
      </c>
      <c r="F39" s="137"/>
      <c r="G39" s="137">
        <f>SUM(保険料計算!K13:N13)</f>
        <v>0</v>
      </c>
      <c r="H39" s="137"/>
      <c r="I39" s="140"/>
      <c r="J39" s="140"/>
    </row>
    <row r="40" spans="3:11" ht="12.75" customHeight="1" thickBot="1" x14ac:dyDescent="0.45">
      <c r="C40" s="135"/>
      <c r="D40" s="135"/>
      <c r="E40" s="137"/>
      <c r="F40" s="137"/>
      <c r="G40" s="137"/>
      <c r="H40" s="137"/>
      <c r="I40" s="140"/>
      <c r="J40" s="140"/>
    </row>
    <row r="41" spans="3:11" ht="12.75" customHeight="1" thickBot="1" x14ac:dyDescent="0.45">
      <c r="C41" s="135"/>
      <c r="D41" s="135"/>
      <c r="E41" s="137"/>
      <c r="F41" s="137"/>
      <c r="G41" s="137"/>
      <c r="H41" s="137"/>
      <c r="I41" s="140"/>
      <c r="J41" s="140"/>
    </row>
    <row r="42" spans="3:11" ht="12.75" customHeight="1" thickBot="1" x14ac:dyDescent="0.45">
      <c r="C42" s="138"/>
      <c r="D42" s="138"/>
      <c r="E42" s="139"/>
      <c r="F42" s="139"/>
      <c r="G42" s="139"/>
      <c r="H42" s="139"/>
      <c r="I42" s="141"/>
      <c r="J42" s="141"/>
    </row>
    <row r="43" spans="3:11" ht="12.75" customHeight="1" thickTop="1" thickBot="1" x14ac:dyDescent="0.45">
      <c r="C43" s="142" t="s">
        <v>98</v>
      </c>
      <c r="D43" s="143"/>
      <c r="E43" s="146">
        <f>SUM(E31:F42)</f>
        <v>0</v>
      </c>
      <c r="F43" s="146"/>
      <c r="G43" s="149">
        <f t="shared" ref="G43" si="2">SUM(G31:H42)</f>
        <v>0</v>
      </c>
      <c r="H43" s="149"/>
      <c r="I43" s="149">
        <f t="shared" ref="I43" si="3">SUM(I31:J42)</f>
        <v>0</v>
      </c>
      <c r="J43" s="149"/>
    </row>
    <row r="44" spans="3:11" ht="12.75" customHeight="1" thickBot="1" x14ac:dyDescent="0.45">
      <c r="C44" s="144"/>
      <c r="D44" s="144"/>
      <c r="E44" s="147"/>
      <c r="F44" s="147"/>
      <c r="G44" s="150"/>
      <c r="H44" s="150"/>
      <c r="I44" s="150"/>
      <c r="J44" s="150"/>
    </row>
    <row r="45" spans="3:11" ht="12.75" customHeight="1" thickBot="1" x14ac:dyDescent="0.45">
      <c r="C45" s="144"/>
      <c r="D45" s="144"/>
      <c r="E45" s="147"/>
      <c r="F45" s="147"/>
      <c r="G45" s="150"/>
      <c r="H45" s="150"/>
      <c r="I45" s="150"/>
      <c r="J45" s="150"/>
    </row>
    <row r="46" spans="3:11" ht="12.75" customHeight="1" thickBot="1" x14ac:dyDescent="0.45">
      <c r="C46" s="145"/>
      <c r="D46" s="145"/>
      <c r="E46" s="148"/>
      <c r="F46" s="148"/>
      <c r="G46" s="151"/>
      <c r="H46" s="151"/>
      <c r="I46" s="151"/>
      <c r="J46" s="151"/>
    </row>
    <row r="47" spans="3:11" ht="24.75" customHeight="1" thickTop="1" x14ac:dyDescent="0.4">
      <c r="C47" t="str">
        <f>保険料計算!X1</f>
        <v/>
      </c>
      <c r="K47" s="97"/>
    </row>
    <row r="48" spans="3:11" x14ac:dyDescent="0.4">
      <c r="C48" t="str">
        <f>保険料計算!X2</f>
        <v/>
      </c>
    </row>
    <row r="49" spans="3:10" x14ac:dyDescent="0.4">
      <c r="C49" t="str">
        <f>保険料計算!X3</f>
        <v/>
      </c>
    </row>
    <row r="50" spans="3:10" x14ac:dyDescent="0.4">
      <c r="C50" s="153" t="s">
        <v>103</v>
      </c>
      <c r="D50" s="153"/>
      <c r="E50" s="154">
        <f>料率入力欄!F6</f>
        <v>650000</v>
      </c>
      <c r="F50" s="154"/>
      <c r="G50" s="154">
        <f>料率入力欄!F7</f>
        <v>240000</v>
      </c>
      <c r="H50" s="154"/>
      <c r="I50" s="154">
        <f>料率入力欄!F8</f>
        <v>170000</v>
      </c>
      <c r="J50" s="154"/>
    </row>
    <row r="51" spans="3:10" ht="7.5" customHeight="1" thickBot="1" x14ac:dyDescent="0.45">
      <c r="C51" s="117"/>
      <c r="D51" s="117"/>
      <c r="E51" s="118"/>
      <c r="F51" s="118"/>
      <c r="G51" s="118"/>
      <c r="H51" s="118"/>
      <c r="I51" s="118"/>
      <c r="J51" s="118"/>
    </row>
    <row r="52" spans="3:10" ht="42" customHeight="1" thickBot="1" x14ac:dyDescent="0.45">
      <c r="C52" s="155" t="s">
        <v>99</v>
      </c>
      <c r="D52" s="156"/>
      <c r="E52" s="157">
        <f>IF(E43&lt;E50,E43,E50)</f>
        <v>0</v>
      </c>
      <c r="F52" s="157"/>
      <c r="G52" s="157">
        <f t="shared" ref="G52" si="4">IF(G43&lt;G50,G43,G50)</f>
        <v>0</v>
      </c>
      <c r="H52" s="157"/>
      <c r="I52" s="157">
        <f t="shared" ref="I52" si="5">IF(I43&lt;I50,I43,I50)</f>
        <v>0</v>
      </c>
      <c r="J52" s="157"/>
    </row>
    <row r="53" spans="3:10" ht="27.75" customHeight="1" thickBot="1" x14ac:dyDescent="0.45"/>
    <row r="54" spans="3:10" s="96" customFormat="1" ht="9.75" customHeight="1" thickTop="1" x14ac:dyDescent="0.4">
      <c r="C54" s="158" t="s">
        <v>100</v>
      </c>
      <c r="D54" s="158"/>
      <c r="E54" s="158"/>
      <c r="F54" s="158"/>
      <c r="G54" s="159"/>
      <c r="H54" s="160">
        <f>SUM(E52:J52)</f>
        <v>0</v>
      </c>
      <c r="I54" s="161"/>
      <c r="J54" s="162"/>
    </row>
    <row r="55" spans="3:10" s="96" customFormat="1" ht="9.75" customHeight="1" x14ac:dyDescent="0.4">
      <c r="C55" s="158"/>
      <c r="D55" s="158"/>
      <c r="E55" s="158"/>
      <c r="F55" s="158"/>
      <c r="G55" s="159"/>
      <c r="H55" s="163"/>
      <c r="I55" s="164"/>
      <c r="J55" s="165"/>
    </row>
    <row r="56" spans="3:10" s="96" customFormat="1" ht="9.75" customHeight="1" x14ac:dyDescent="0.4">
      <c r="C56" s="158"/>
      <c r="D56" s="158"/>
      <c r="E56" s="158"/>
      <c r="F56" s="158"/>
      <c r="G56" s="159"/>
      <c r="H56" s="163"/>
      <c r="I56" s="164"/>
      <c r="J56" s="165"/>
    </row>
    <row r="57" spans="3:10" s="96" customFormat="1" ht="9.75" customHeight="1" thickBot="1" x14ac:dyDescent="0.45">
      <c r="C57" s="158"/>
      <c r="D57" s="158"/>
      <c r="E57" s="158"/>
      <c r="F57" s="158"/>
      <c r="G57" s="159"/>
      <c r="H57" s="166"/>
      <c r="I57" s="167"/>
      <c r="J57" s="168"/>
    </row>
    <row r="58" spans="3:10" ht="19.5" thickTop="1" x14ac:dyDescent="0.4"/>
    <row r="59" spans="3:10" x14ac:dyDescent="0.4">
      <c r="C59" s="99" t="s">
        <v>101</v>
      </c>
      <c r="D59" s="98"/>
      <c r="E59" s="98"/>
      <c r="F59" s="98"/>
      <c r="G59" s="98"/>
      <c r="H59" s="98"/>
      <c r="I59" s="98"/>
      <c r="J59" s="98"/>
    </row>
    <row r="60" spans="3:10" x14ac:dyDescent="0.4">
      <c r="C60" s="99" t="s">
        <v>124</v>
      </c>
      <c r="D60" s="98"/>
      <c r="E60" s="98"/>
      <c r="F60" s="98"/>
      <c r="G60" s="98"/>
      <c r="H60" s="98"/>
      <c r="I60" s="98"/>
      <c r="J60" s="98"/>
    </row>
    <row r="61" spans="3:10" x14ac:dyDescent="0.4">
      <c r="C61" s="98"/>
      <c r="D61" s="98"/>
      <c r="E61" s="98"/>
      <c r="F61" s="98"/>
      <c r="G61" s="98"/>
      <c r="H61" s="98"/>
      <c r="I61" s="98"/>
      <c r="J61" s="98"/>
    </row>
    <row r="62" spans="3:10" ht="33" customHeight="1" x14ac:dyDescent="0.4">
      <c r="C62" s="152" t="s">
        <v>102</v>
      </c>
      <c r="D62" s="152"/>
      <c r="E62" s="152"/>
      <c r="F62" s="152"/>
      <c r="G62" s="152"/>
      <c r="H62" s="152"/>
      <c r="I62" s="152"/>
      <c r="J62" s="152"/>
    </row>
  </sheetData>
  <sheetProtection algorithmName="SHA-512" hashValue="zvZZ9TIxNkCXRm71Z/xdNgXIux75kIAomPov4lK0KHreKV2NAsN29jbjMHaXbTLIDH/pZzHLJDPizxNU2LqUQA==" saltValue="8eZy/5l4Wrn6ZUO1Tlgxvw==" spinCount="100000" sheet="1" objects="1" scenarios="1"/>
  <mergeCells count="33">
    <mergeCell ref="C62:J62"/>
    <mergeCell ref="C50:D50"/>
    <mergeCell ref="E50:F50"/>
    <mergeCell ref="G50:H50"/>
    <mergeCell ref="I50:J50"/>
    <mergeCell ref="C52:D52"/>
    <mergeCell ref="E52:F52"/>
    <mergeCell ref="G52:H52"/>
    <mergeCell ref="I52:J52"/>
    <mergeCell ref="C54:G57"/>
    <mergeCell ref="H54:J57"/>
    <mergeCell ref="C39:D42"/>
    <mergeCell ref="E39:F42"/>
    <mergeCell ref="G39:H42"/>
    <mergeCell ref="I39:J42"/>
    <mergeCell ref="C43:D46"/>
    <mergeCell ref="E43:F46"/>
    <mergeCell ref="G43:H46"/>
    <mergeCell ref="I43:J46"/>
    <mergeCell ref="C31:D34"/>
    <mergeCell ref="E31:F34"/>
    <mergeCell ref="G31:H34"/>
    <mergeCell ref="I31:J34"/>
    <mergeCell ref="C35:D38"/>
    <mergeCell ref="E35:F38"/>
    <mergeCell ref="G35:H38"/>
    <mergeCell ref="I35:J38"/>
    <mergeCell ref="B2:K2"/>
    <mergeCell ref="C24:J26"/>
    <mergeCell ref="C27:D30"/>
    <mergeCell ref="E27:F30"/>
    <mergeCell ref="G27:H30"/>
    <mergeCell ref="I27:J30"/>
  </mergeCells>
  <phoneticPr fontId="2"/>
  <dataValidations count="1">
    <dataValidation type="list" showInputMessage="1" showErrorMessage="1" sqref="C16:C21">
      <formula1>"〇,×"</formula1>
    </dataValidation>
  </dataValidations>
  <pageMargins left="0.27559055118110237" right="0.2" top="0.74803149606299213" bottom="0.39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19" zoomScale="40" zoomScaleNormal="40" workbookViewId="0">
      <selection activeCell="B46" sqref="B46"/>
    </sheetView>
  </sheetViews>
  <sheetFormatPr defaultRowHeight="18.75" x14ac:dyDescent="0.4"/>
  <cols>
    <col min="1" max="1" width="20.625" style="37" customWidth="1"/>
    <col min="2" max="2" width="22.625" style="37" customWidth="1"/>
    <col min="3" max="15" width="22.625" style="2" customWidth="1"/>
    <col min="16" max="16384" width="9" style="2"/>
  </cols>
  <sheetData>
    <row r="1" spans="1:15" ht="36" hidden="1" thickBot="1" x14ac:dyDescent="0.75">
      <c r="A1" s="1" t="s">
        <v>0</v>
      </c>
      <c r="B1" s="172" t="s">
        <v>6</v>
      </c>
      <c r="C1" s="173"/>
      <c r="D1" s="173"/>
      <c r="E1" s="173"/>
      <c r="F1" s="173"/>
      <c r="G1" s="173"/>
      <c r="H1" s="173"/>
      <c r="I1" s="173"/>
      <c r="J1" s="173"/>
      <c r="K1" s="174"/>
      <c r="L1" s="175" t="s">
        <v>7</v>
      </c>
      <c r="M1" s="175" t="s">
        <v>8</v>
      </c>
    </row>
    <row r="2" spans="1:15" ht="36" hidden="1" thickBot="1" x14ac:dyDescent="0.45">
      <c r="A2" s="68" t="s">
        <v>9</v>
      </c>
      <c r="B2" s="3" t="s">
        <v>10</v>
      </c>
      <c r="C2" s="4" t="s">
        <v>11</v>
      </c>
      <c r="D2" s="5" t="s">
        <v>12</v>
      </c>
      <c r="E2" s="4" t="s">
        <v>13</v>
      </c>
      <c r="F2" s="4" t="s">
        <v>14</v>
      </c>
      <c r="G2" s="4" t="s">
        <v>15</v>
      </c>
      <c r="H2" s="4" t="s">
        <v>16</v>
      </c>
      <c r="I2" s="4" t="s">
        <v>17</v>
      </c>
      <c r="J2" s="4" t="s">
        <v>18</v>
      </c>
      <c r="K2" s="6" t="s">
        <v>19</v>
      </c>
      <c r="L2" s="176"/>
      <c r="M2" s="176"/>
    </row>
    <row r="3" spans="1:15" ht="36" hidden="1" thickBot="1" x14ac:dyDescent="0.75">
      <c r="A3" s="68" t="s">
        <v>1</v>
      </c>
      <c r="B3" s="7">
        <f>IF(試算シート!E16&lt;1619000,MAX(試算シート!E16-550000,0),"0")</f>
        <v>0</v>
      </c>
      <c r="C3" s="8" t="str">
        <f>IF(AND(1619000&lt;=試算シート!E16,試算シート!E16&lt;=1619999),1069000,"0")</f>
        <v>0</v>
      </c>
      <c r="D3" s="8" t="str">
        <f>IF(AND(1620000&lt;=試算シート!E16,試算シート!E16&lt;=1621999),1070000,"0")</f>
        <v>0</v>
      </c>
      <c r="E3" s="8" t="str">
        <f>IF(AND(1622000&lt;=試算シート!E16,試算シート!E16&lt;=1623999),1072000,"0")</f>
        <v>0</v>
      </c>
      <c r="F3" s="8" t="str">
        <f>IF(AND(1624000&lt;=試算シート!E16,試算シート!E16&lt;=1627999),1074000,"0")</f>
        <v>0</v>
      </c>
      <c r="G3" s="8" t="str">
        <f>IF(AND(1628000&lt;=試算シート!E16,試算シート!E16&lt;=1803999),QUOTIENT(試算シート!E16,4000)*4000*0.6+100000,"0")</f>
        <v>0</v>
      </c>
      <c r="H3" s="8" t="str">
        <f>IF(AND(1804000&lt;=試算シート!E16,試算シート!E16&lt;=3603999),QUOTIENT(試算シート!E16,4000)*4000*0.7-80000,"0")</f>
        <v>0</v>
      </c>
      <c r="I3" s="8" t="str">
        <f>IF(AND(3604000&lt;=試算シート!E16,試算シート!E16&lt;=6599999),QUOTIENT(試算シート!E16,4000)*4000*0.8-440000,"0")</f>
        <v>0</v>
      </c>
      <c r="J3" s="8" t="str">
        <f>IF(AND(6600000&lt;=試算シート!E16,試算シート!E16&lt;=8500000),試算シート!E16*0.9-1100000,"0")</f>
        <v>0</v>
      </c>
      <c r="K3" s="9" t="str">
        <f>IF(8500001&lt;=試算シート!E16,試算シート!E16-1950000,"0")</f>
        <v>0</v>
      </c>
      <c r="L3" s="10">
        <f t="shared" ref="L3:L8" si="0">SUM(B3:K3)</f>
        <v>0</v>
      </c>
      <c r="M3" s="11">
        <f t="shared" ref="M3:M8" si="1">IF(100000&lt;=SUM(L3,L12),L3-SUM(IF(100000&lt;=L3,100000,L3),IF(100000&lt;=L12,100000,L12)-100000),L3)</f>
        <v>0</v>
      </c>
    </row>
    <row r="4" spans="1:15" ht="36" hidden="1" thickBot="1" x14ac:dyDescent="0.75">
      <c r="A4" s="68" t="s">
        <v>20</v>
      </c>
      <c r="B4" s="7">
        <f>IF(試算シート!E17&lt;1619000,MAX(試算シート!E17-550000,0),"0")</f>
        <v>0</v>
      </c>
      <c r="C4" s="8" t="str">
        <f>IF(AND(1619000&lt;=試算シート!E17,試算シート!E17&lt;=1619999),1069000,"0")</f>
        <v>0</v>
      </c>
      <c r="D4" s="8" t="str">
        <f>IF(AND(1620000&lt;=試算シート!E17,試算シート!E17&lt;=1621999),1070000,"0")</f>
        <v>0</v>
      </c>
      <c r="E4" s="8" t="str">
        <f>IF(AND(1622000&lt;=試算シート!E17,試算シート!E17&lt;=1623999),1072000,"0")</f>
        <v>0</v>
      </c>
      <c r="F4" s="8" t="str">
        <f>IF(AND(1624000&lt;=試算シート!E17,試算シート!E17&lt;=1627999),1074000,"0")</f>
        <v>0</v>
      </c>
      <c r="G4" s="8" t="str">
        <f>IF(AND(1628000&lt;=試算シート!E17,試算シート!E17&lt;=1803999),QUOTIENT(試算シート!E17,4000)*4000*0.6+100000,"0")</f>
        <v>0</v>
      </c>
      <c r="H4" s="8" t="str">
        <f>IF(AND(1804000&lt;=試算シート!E17,試算シート!E17&lt;=3603999),QUOTIENT(試算シート!E17,4000)*4000*0.7-80000,"0")</f>
        <v>0</v>
      </c>
      <c r="I4" s="8" t="str">
        <f>IF(AND(3604000&lt;=試算シート!E17,試算シート!E17&lt;=6599999),QUOTIENT(試算シート!E17,4000)*4000*0.8-440000,"0")</f>
        <v>0</v>
      </c>
      <c r="J4" s="8" t="str">
        <f>IF(AND(6600000&lt;=試算シート!E17,試算シート!E17&lt;=8500000),試算シート!E17*0.9-1100000,"0")</f>
        <v>0</v>
      </c>
      <c r="K4" s="9" t="str">
        <f>IF(8500001&lt;=試算シート!E17,試算シート!E17-1950000,"0")</f>
        <v>0</v>
      </c>
      <c r="L4" s="10">
        <f t="shared" si="0"/>
        <v>0</v>
      </c>
      <c r="M4" s="11">
        <f t="shared" si="1"/>
        <v>0</v>
      </c>
    </row>
    <row r="5" spans="1:15" ht="36" hidden="1" thickBot="1" x14ac:dyDescent="0.75">
      <c r="A5" s="68" t="s">
        <v>21</v>
      </c>
      <c r="B5" s="7">
        <f>IF(試算シート!E18&lt;1619000,MAX(試算シート!E18-550000,0),"0")</f>
        <v>0</v>
      </c>
      <c r="C5" s="8" t="str">
        <f>IF(AND(1619000&lt;=試算シート!E18,試算シート!E18&lt;=1619999),1069000,"0")</f>
        <v>0</v>
      </c>
      <c r="D5" s="8" t="str">
        <f>IF(AND(1620000&lt;=試算シート!E18,試算シート!E18&lt;=1621999),1070000,"0")</f>
        <v>0</v>
      </c>
      <c r="E5" s="8" t="str">
        <f>IF(AND(1622000&lt;=試算シート!E18,試算シート!E18&lt;=1623999),1072000,"0")</f>
        <v>0</v>
      </c>
      <c r="F5" s="8" t="str">
        <f>IF(AND(1624000&lt;=試算シート!E18,試算シート!E18&lt;=1627999),1074000,"0")</f>
        <v>0</v>
      </c>
      <c r="G5" s="8" t="str">
        <f>IF(AND(1628000&lt;=試算シート!E18,試算シート!E18&lt;=1803999),QUOTIENT(試算シート!E18,4000)*4000*0.6+100000,"0")</f>
        <v>0</v>
      </c>
      <c r="H5" s="8" t="str">
        <f>IF(AND(1804000&lt;=試算シート!E18,試算シート!E18&lt;=3603999),QUOTIENT(試算シート!E18,4000)*4000*0.7-80000,"0")</f>
        <v>0</v>
      </c>
      <c r="I5" s="8" t="str">
        <f>IF(AND(3604000&lt;=試算シート!E18,試算シート!E18&lt;=6599999),QUOTIENT(試算シート!E18,4000)*4000*0.8-440000,"0")</f>
        <v>0</v>
      </c>
      <c r="J5" s="8" t="str">
        <f>IF(AND(6600000&lt;=試算シート!E18,試算シート!E18&lt;=8500000),試算シート!E18*0.9-1100000,"0")</f>
        <v>0</v>
      </c>
      <c r="K5" s="9" t="str">
        <f>IF(8500001&lt;=試算シート!E18,試算シート!E18-1950000,"0")</f>
        <v>0</v>
      </c>
      <c r="L5" s="10">
        <f t="shared" si="0"/>
        <v>0</v>
      </c>
      <c r="M5" s="11">
        <f t="shared" si="1"/>
        <v>0</v>
      </c>
    </row>
    <row r="6" spans="1:15" ht="36" hidden="1" thickBot="1" x14ac:dyDescent="0.75">
      <c r="A6" s="68" t="s">
        <v>22</v>
      </c>
      <c r="B6" s="7">
        <f>IF(試算シート!E19&lt;1619000,MAX(試算シート!E19-550000,0),"0")</f>
        <v>0</v>
      </c>
      <c r="C6" s="8" t="str">
        <f>IF(AND(1619000&lt;=試算シート!E19,試算シート!E19&lt;=1619999),1069000,"0")</f>
        <v>0</v>
      </c>
      <c r="D6" s="8" t="str">
        <f>IF(AND(1620000&lt;=試算シート!E19,試算シート!E19&lt;=1621999),1070000,"0")</f>
        <v>0</v>
      </c>
      <c r="E6" s="8" t="str">
        <f>IF(AND(1622000&lt;=試算シート!E19,試算シート!E19&lt;=1623999),1072000,"0")</f>
        <v>0</v>
      </c>
      <c r="F6" s="8" t="str">
        <f>IF(AND(1624000&lt;=試算シート!E19,試算シート!E19&lt;=1627999),1074000,"0")</f>
        <v>0</v>
      </c>
      <c r="G6" s="8" t="str">
        <f>IF(AND(1628000&lt;=試算シート!E19,試算シート!E19&lt;=1803999),QUOTIENT(試算シート!E19,4000)*4000*0.6+100000,"0")</f>
        <v>0</v>
      </c>
      <c r="H6" s="8" t="str">
        <f>IF(AND(1804000&lt;=試算シート!E19,試算シート!E19&lt;=3603999),QUOTIENT(試算シート!E19,4000)*4000*0.7-80000,"0")</f>
        <v>0</v>
      </c>
      <c r="I6" s="8" t="str">
        <f>IF(AND(3604000&lt;=試算シート!E19,試算シート!E19&lt;=6599999),QUOTIENT(試算シート!E19,4000)*4000*0.8-440000,"0")</f>
        <v>0</v>
      </c>
      <c r="J6" s="8" t="str">
        <f>IF(AND(6600000&lt;=試算シート!E19,試算シート!E19&lt;=8500000),試算シート!E19*0.9-1100000,"0")</f>
        <v>0</v>
      </c>
      <c r="K6" s="9" t="str">
        <f>IF(8500001&lt;=試算シート!E19,試算シート!E19-1950000,"0")</f>
        <v>0</v>
      </c>
      <c r="L6" s="10">
        <f t="shared" si="0"/>
        <v>0</v>
      </c>
      <c r="M6" s="11">
        <f t="shared" si="1"/>
        <v>0</v>
      </c>
    </row>
    <row r="7" spans="1:15" ht="36" hidden="1" thickBot="1" x14ac:dyDescent="0.75">
      <c r="A7" s="68" t="s">
        <v>23</v>
      </c>
      <c r="B7" s="7">
        <f>IF(試算シート!E20&lt;1619000,MAX(試算シート!E20-550000,0),"0")</f>
        <v>0</v>
      </c>
      <c r="C7" s="8" t="str">
        <f>IF(AND(1619000&lt;=試算シート!E20,試算シート!E20&lt;=1619999),1069000,"0")</f>
        <v>0</v>
      </c>
      <c r="D7" s="8" t="str">
        <f>IF(AND(1620000&lt;=試算シート!E20,試算シート!E20&lt;=1621999),1070000,"0")</f>
        <v>0</v>
      </c>
      <c r="E7" s="8" t="str">
        <f>IF(AND(1622000&lt;=試算シート!E20,試算シート!E20&lt;=1623999),1072000,"0")</f>
        <v>0</v>
      </c>
      <c r="F7" s="8" t="str">
        <f>IF(AND(1624000&lt;=試算シート!E20,試算シート!E20&lt;=1627999),1074000,"0")</f>
        <v>0</v>
      </c>
      <c r="G7" s="8" t="str">
        <f>IF(AND(1628000&lt;=試算シート!E20,試算シート!E20&lt;=1803999),QUOTIENT(試算シート!E20,4000)*4000*0.6+100000,"0")</f>
        <v>0</v>
      </c>
      <c r="H7" s="8" t="str">
        <f>IF(AND(1804000&lt;=試算シート!E20,試算シート!E20&lt;=3603999),QUOTIENT(試算シート!E20,4000)*4000*0.7-80000,"0")</f>
        <v>0</v>
      </c>
      <c r="I7" s="8" t="str">
        <f>IF(AND(3604000&lt;=試算シート!E20,試算シート!E20&lt;=6599999),QUOTIENT(試算シート!E20,4000)*4000*0.8-440000,"0")</f>
        <v>0</v>
      </c>
      <c r="J7" s="8" t="str">
        <f>IF(AND(6600000&lt;=試算シート!E20,試算シート!E20&lt;=8500000),試算シート!E20*0.9-1100000,"0")</f>
        <v>0</v>
      </c>
      <c r="K7" s="9" t="str">
        <f>IF(8500001&lt;=試算シート!E20,試算シート!E20-1950000,"0")</f>
        <v>0</v>
      </c>
      <c r="L7" s="10">
        <f t="shared" si="0"/>
        <v>0</v>
      </c>
      <c r="M7" s="11">
        <f t="shared" si="1"/>
        <v>0</v>
      </c>
    </row>
    <row r="8" spans="1:15" ht="36" hidden="1" thickBot="1" x14ac:dyDescent="0.75">
      <c r="A8" s="68" t="s">
        <v>24</v>
      </c>
      <c r="B8" s="69">
        <f>IF(試算シート!E21&lt;1619000,MAX(試算シート!E21-550000,0),"0")</f>
        <v>0</v>
      </c>
      <c r="C8" s="12" t="str">
        <f>IF(AND(1619000&lt;=試算シート!E21,試算シート!E21&lt;=1619999),1069000,"0")</f>
        <v>0</v>
      </c>
      <c r="D8" s="12" t="str">
        <f>IF(AND(1620000&lt;=試算シート!E21,試算シート!E21&lt;=1621999),1070000,"0")</f>
        <v>0</v>
      </c>
      <c r="E8" s="12" t="str">
        <f>IF(AND(1622000&lt;=試算シート!E21,試算シート!E21&lt;=1623999),1072000,"0")</f>
        <v>0</v>
      </c>
      <c r="F8" s="12" t="str">
        <f>IF(AND(1624000&lt;=試算シート!E21,試算シート!E21&lt;=1627999),1074000,"0")</f>
        <v>0</v>
      </c>
      <c r="G8" s="12" t="str">
        <f>IF(AND(1628000&lt;=試算シート!E21,試算シート!E21&lt;=1803999),QUOTIENT(試算シート!E21,4000)*4000*0.6+100000,"0")</f>
        <v>0</v>
      </c>
      <c r="H8" s="12" t="str">
        <f>IF(AND(1804000&lt;=試算シート!E21,試算シート!E21&lt;=3603999),QUOTIENT(試算シート!E21,4000)*4000*0.7-80000,"0")</f>
        <v>0</v>
      </c>
      <c r="I8" s="12" t="str">
        <f>IF(AND(3604000&lt;=試算シート!E21,試算シート!E21&lt;=6599999),QUOTIENT(試算シート!E21,4000)*4000*0.8-440000,"0")</f>
        <v>0</v>
      </c>
      <c r="J8" s="12" t="str">
        <f>IF(AND(6600000&lt;=試算シート!E21,試算シート!E21&lt;=8500000),試算シート!E21*0.9-1100000,"0")</f>
        <v>0</v>
      </c>
      <c r="K8" s="13" t="str">
        <f>IF(8500001&lt;=試算シート!E21,試算シート!E21-1950000,"0")</f>
        <v>0</v>
      </c>
      <c r="L8" s="10">
        <f t="shared" si="0"/>
        <v>0</v>
      </c>
      <c r="M8" s="11">
        <f t="shared" si="1"/>
        <v>0</v>
      </c>
    </row>
    <row r="9" spans="1:15" ht="36" hidden="1" thickBot="1" x14ac:dyDescent="0.45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7"/>
      <c r="M9" s="17"/>
    </row>
    <row r="10" spans="1:15" ht="36" hidden="1" thickBot="1" x14ac:dyDescent="0.45">
      <c r="A10" s="18" t="s">
        <v>25</v>
      </c>
      <c r="B10" s="177" t="s">
        <v>26</v>
      </c>
      <c r="C10" s="178"/>
      <c r="D10" s="178"/>
      <c r="E10" s="178"/>
      <c r="F10" s="179"/>
      <c r="G10" s="180" t="s">
        <v>27</v>
      </c>
      <c r="H10" s="178"/>
      <c r="I10" s="178"/>
      <c r="J10" s="178"/>
      <c r="K10" s="179"/>
      <c r="L10" s="175" t="s">
        <v>28</v>
      </c>
      <c r="M10" s="17"/>
      <c r="N10" s="169" t="s">
        <v>29</v>
      </c>
      <c r="O10" s="169" t="s">
        <v>30</v>
      </c>
    </row>
    <row r="11" spans="1:15" ht="36" hidden="1" thickBot="1" x14ac:dyDescent="0.45">
      <c r="A11" s="19" t="s">
        <v>31</v>
      </c>
      <c r="B11" s="20" t="s">
        <v>32</v>
      </c>
      <c r="C11" s="21" t="s">
        <v>33</v>
      </c>
      <c r="D11" s="22" t="s">
        <v>34</v>
      </c>
      <c r="E11" s="21" t="s">
        <v>35</v>
      </c>
      <c r="F11" s="23" t="s">
        <v>36</v>
      </c>
      <c r="G11" s="24" t="s">
        <v>37</v>
      </c>
      <c r="H11" s="21" t="s">
        <v>38</v>
      </c>
      <c r="I11" s="22" t="s">
        <v>34</v>
      </c>
      <c r="J11" s="21" t="s">
        <v>35</v>
      </c>
      <c r="K11" s="23" t="s">
        <v>36</v>
      </c>
      <c r="L11" s="176"/>
      <c r="M11" s="17"/>
      <c r="N11" s="170"/>
      <c r="O11" s="171"/>
    </row>
    <row r="12" spans="1:15" ht="36" hidden="1" thickBot="1" x14ac:dyDescent="0.75">
      <c r="A12" s="19" t="s">
        <v>1</v>
      </c>
      <c r="B12" s="25">
        <f>IF(AND(試算シート!D16&lt;65,試算シート!F16&lt;=1300000),MAX(試算シート!F16-600000,0),"0")</f>
        <v>0</v>
      </c>
      <c r="C12" s="26" t="str">
        <f>IF(AND(試算シート!D16&lt;65,1300001&lt;=試算シート!F16,試算シート!F16&lt;=4100000),試算シート!F16*0.75-275000,"0")</f>
        <v>0</v>
      </c>
      <c r="D12" s="26" t="str">
        <f>IF(AND(試算シート!D16&lt;65,4100001&lt;=試算シート!F16,試算シート!F16&lt;=7700000),試算シート!F16*0.85-685000,"0")</f>
        <v>0</v>
      </c>
      <c r="E12" s="26" t="str">
        <f>IF(AND(試算シート!D16&lt;65,7700001&lt;=試算シート!F16,試算シート!F16&lt;=10000000),試算シート!F16*0.95-1455000,"0")</f>
        <v>0</v>
      </c>
      <c r="F12" s="27" t="str">
        <f>IF(AND(試算シート!D16&lt;65,10000001&lt;=試算シート!F16),MAX(試算シート!F16-1955000,0),"0")</f>
        <v>0</v>
      </c>
      <c r="G12" s="28" t="str">
        <f>IF(AND(65&lt;=試算シート!D16,試算シート!F16&lt;=3300000),MAX(試算シート!F16-1100000,0),"0")</f>
        <v>0</v>
      </c>
      <c r="H12" s="26" t="str">
        <f>IF(AND(65&lt;=試算シート!D16,3300001&lt;=試算シート!F16,試算シート!F16&lt;=4100000),試算シート!F16*0.75-275000,"0")</f>
        <v>0</v>
      </c>
      <c r="I12" s="26" t="str">
        <f>IF(AND(65&lt;=試算シート!D16,4100001&lt;=試算シート!F16,試算シート!F16&lt;=7700000),試算シート!F16*0.85-685000,"0")</f>
        <v>0</v>
      </c>
      <c r="J12" s="26" t="str">
        <f>IF(AND(65&lt;=試算シート!D16,7700001&lt;=試算シート!F16,試算シート!F16&lt;=10000000),試算シート!F16*0.95-1455000,"0")</f>
        <v>0</v>
      </c>
      <c r="K12" s="27" t="str">
        <f>IF(AND(65&lt;=試算シート!D16,10000001&lt;=試算シート!F16),MAX(試算シート!F16-1955000,0),"0")</f>
        <v>0</v>
      </c>
      <c r="L12" s="29">
        <f t="shared" ref="L12:L17" si="2">SUM(B12:K12)</f>
        <v>0</v>
      </c>
      <c r="M12" s="17"/>
      <c r="N12" s="30" t="str">
        <f>IF(OR(550000&lt;=試算シート!E16,AND(試算シート!D16&lt;65,600000&lt;=試算シート!F16),AND(65&lt;=試算シート!D16,1250000&lt;=試算シート!F16)),"〇","×")</f>
        <v>×</v>
      </c>
      <c r="O12" s="31">
        <f>SUM(M3,IF(65&lt;=試算シート!D16,MAX(L12-150000,0),L12),試算シート!G16)</f>
        <v>0</v>
      </c>
    </row>
    <row r="13" spans="1:15" ht="36" hidden="1" thickBot="1" x14ac:dyDescent="0.75">
      <c r="A13" s="19" t="s">
        <v>20</v>
      </c>
      <c r="B13" s="25">
        <f>IF(AND(試算シート!D17&lt;65,試算シート!F17&lt;=1300000),MAX(試算シート!F17-600000,0),"0")</f>
        <v>0</v>
      </c>
      <c r="C13" s="26" t="str">
        <f>IF(AND(試算シート!D17&lt;65,1300001&lt;=試算シート!F17,試算シート!F17&lt;=4100000),試算シート!F17*0.75-275000,"0")</f>
        <v>0</v>
      </c>
      <c r="D13" s="26" t="str">
        <f>IF(AND(試算シート!D17&lt;65,4100001&lt;=試算シート!F17,試算シート!F17&lt;=7700000),試算シート!F17*0.85-685000,"0")</f>
        <v>0</v>
      </c>
      <c r="E13" s="26" t="str">
        <f>IF(AND(試算シート!D17&lt;65,7700001&lt;=試算シート!F17,試算シート!F17&lt;=10000000),試算シート!F17*0.95-1455000,"0")</f>
        <v>0</v>
      </c>
      <c r="F13" s="27" t="str">
        <f>IF(AND(試算シート!D17&lt;65,10000001&lt;=試算シート!F17),MAX(試算シート!F17-1955000,0),"0")</f>
        <v>0</v>
      </c>
      <c r="G13" s="28" t="str">
        <f>IF(AND(65&lt;=試算シート!D17,試算シート!F17&lt;=3300000),MAX(試算シート!F17-1100000,0),"0")</f>
        <v>0</v>
      </c>
      <c r="H13" s="26" t="str">
        <f>IF(AND(65&lt;=試算シート!D17,3300001&lt;=試算シート!F17,試算シート!F17&lt;=4100000),試算シート!F17*0.75-275000,"0")</f>
        <v>0</v>
      </c>
      <c r="I13" s="26" t="str">
        <f>IF(AND(65&lt;=試算シート!D17,4100001&lt;=試算シート!F17,試算シート!F17&lt;=7700000),試算シート!F17*0.85-685000,"0")</f>
        <v>0</v>
      </c>
      <c r="J13" s="26" t="str">
        <f>IF(AND(65&lt;=試算シート!D17,7700001&lt;=試算シート!F17,試算シート!F17&lt;=10000000),試算シート!F17*0.95-1455000,"0")</f>
        <v>0</v>
      </c>
      <c r="K13" s="27" t="str">
        <f>IF(AND(65&lt;=試算シート!D17,10000001&lt;=試算シート!F17),MAX(試算シート!F17-1955000,0),"0")</f>
        <v>0</v>
      </c>
      <c r="L13" s="29">
        <f t="shared" si="2"/>
        <v>0</v>
      </c>
      <c r="M13" s="17"/>
      <c r="N13" s="30" t="str">
        <f>IF(OR(550000&lt;=試算シート!E17,AND(試算シート!D17&lt;65,600000&lt;=試算シート!F17),AND(65&lt;=試算シート!D17,1250000&lt;=試算シート!F17)),"〇","×")</f>
        <v>×</v>
      </c>
      <c r="O13" s="31">
        <f>IF(試算シート!C17="〇",SUM(M4,IF(65&lt;=試算シート!D17,MAX(L13-150000,0),L13),試算シート!G17),0)</f>
        <v>0</v>
      </c>
    </row>
    <row r="14" spans="1:15" ht="36" hidden="1" thickBot="1" x14ac:dyDescent="0.75">
      <c r="A14" s="19" t="s">
        <v>21</v>
      </c>
      <c r="B14" s="25">
        <f>IF(AND(試算シート!D18&lt;65,試算シート!F18&lt;=1300000),MAX(試算シート!F18-600000,0),"0")</f>
        <v>0</v>
      </c>
      <c r="C14" s="26" t="str">
        <f>IF(AND(試算シート!D18&lt;65,1300001&lt;=試算シート!F18,試算シート!F18&lt;=4100000),試算シート!F18*0.75-275000,"0")</f>
        <v>0</v>
      </c>
      <c r="D14" s="26" t="str">
        <f>IF(AND(試算シート!D18&lt;65,4100001&lt;=試算シート!F18,試算シート!F18&lt;=7700000),試算シート!F18*0.85-685000,"0")</f>
        <v>0</v>
      </c>
      <c r="E14" s="26" t="str">
        <f>IF(AND(試算シート!D18&lt;65,7700001&lt;=試算シート!F18,試算シート!F18&lt;=10000000),試算シート!F18*0.95-1455000,"0")</f>
        <v>0</v>
      </c>
      <c r="F14" s="27" t="str">
        <f>IF(AND(試算シート!D18&lt;65,10000001&lt;=試算シート!F18),MAX(試算シート!F18-1955000,0),"0")</f>
        <v>0</v>
      </c>
      <c r="G14" s="28" t="str">
        <f>IF(AND(65&lt;=試算シート!D18,試算シート!F18&lt;=3300000),MAX(試算シート!F18-1100000,0),"0")</f>
        <v>0</v>
      </c>
      <c r="H14" s="26" t="str">
        <f>IF(AND(65&lt;=試算シート!D18,3300001&lt;=試算シート!F18,試算シート!F18&lt;=4100000),試算シート!F18*0.75-275000,"0")</f>
        <v>0</v>
      </c>
      <c r="I14" s="26" t="str">
        <f>IF(AND(65&lt;=試算シート!D18,4100001&lt;=試算シート!F18,試算シート!F18&lt;=7700000),試算シート!F18*0.85-685000,"0")</f>
        <v>0</v>
      </c>
      <c r="J14" s="26" t="str">
        <f>IF(AND(65&lt;=試算シート!D18,7700001&lt;=試算シート!F18,試算シート!F18&lt;=10000000),試算シート!F18*0.95-1455000,"0")</f>
        <v>0</v>
      </c>
      <c r="K14" s="27" t="str">
        <f>IF(AND(65&lt;=試算シート!D18,10000001&lt;=試算シート!F18),MAX(試算シート!F18-1955000,0),"0")</f>
        <v>0</v>
      </c>
      <c r="L14" s="29">
        <f t="shared" si="2"/>
        <v>0</v>
      </c>
      <c r="M14" s="17"/>
      <c r="N14" s="30" t="str">
        <f>IF(OR(550000&lt;=試算シート!E18,AND(試算シート!D18&lt;65,600000&lt;=試算シート!F18),AND(65&lt;=試算シート!D18,1250000&lt;=試算シート!F18)),"〇","×")</f>
        <v>×</v>
      </c>
      <c r="O14" s="31">
        <f>IF(試算シート!C18="〇",SUM(M5,IF(65&lt;=試算シート!D18,MAX(L14-150000,0),L14),試算シート!G18),0)</f>
        <v>0</v>
      </c>
    </row>
    <row r="15" spans="1:15" ht="36" hidden="1" thickBot="1" x14ac:dyDescent="0.75">
      <c r="A15" s="19" t="s">
        <v>22</v>
      </c>
      <c r="B15" s="25">
        <f>IF(AND(試算シート!D19&lt;65,試算シート!F19&lt;=1300000),MAX(試算シート!F19-600000,0),"0")</f>
        <v>0</v>
      </c>
      <c r="C15" s="26" t="str">
        <f>IF(AND(試算シート!D19&lt;65,1300001&lt;=試算シート!F19,試算シート!F19&lt;=4100000),試算シート!F19*0.75-275000,"0")</f>
        <v>0</v>
      </c>
      <c r="D15" s="26" t="str">
        <f>IF(AND(試算シート!D19&lt;65,4100001&lt;=試算シート!F19,試算シート!F19&lt;=7700000),試算シート!F19*0.85-685000,"0")</f>
        <v>0</v>
      </c>
      <c r="E15" s="26" t="str">
        <f>IF(AND(試算シート!D19&lt;65,7700001&lt;=試算シート!F19,試算シート!F19&lt;=10000000),試算シート!F19*0.95-1455000,"0")</f>
        <v>0</v>
      </c>
      <c r="F15" s="27" t="str">
        <f>IF(AND(試算シート!D19&lt;65,10000001&lt;=試算シート!F19),MAX(試算シート!F19-1955000,0),"0")</f>
        <v>0</v>
      </c>
      <c r="G15" s="28" t="str">
        <f>IF(AND(65&lt;=試算シート!D19,試算シート!F19&lt;=3300000),MAX(試算シート!F19-1100000,0),"0")</f>
        <v>0</v>
      </c>
      <c r="H15" s="26" t="str">
        <f>IF(AND(65&lt;=試算シート!D19,3300001&lt;=試算シート!F19,試算シート!F19&lt;=4100000),試算シート!F19*0.75-275000,"0")</f>
        <v>0</v>
      </c>
      <c r="I15" s="26" t="str">
        <f>IF(AND(65&lt;=試算シート!D19,4100001&lt;=試算シート!F19,試算シート!F19&lt;=7700000),試算シート!F19*0.85-685000,"0")</f>
        <v>0</v>
      </c>
      <c r="J15" s="26" t="str">
        <f>IF(AND(65&lt;=試算シート!D19,7700001&lt;=試算シート!F19,試算シート!F19&lt;=10000000),試算シート!F19*0.95-1455000,"0")</f>
        <v>0</v>
      </c>
      <c r="K15" s="27" t="str">
        <f>IF(AND(65&lt;=試算シート!D19,10000001&lt;=試算シート!F19),MAX(試算シート!F19-1955000,0),"0")</f>
        <v>0</v>
      </c>
      <c r="L15" s="29">
        <f t="shared" si="2"/>
        <v>0</v>
      </c>
      <c r="M15" s="17"/>
      <c r="N15" s="30" t="str">
        <f>IF(OR(550000&lt;=試算シート!E19,AND(試算シート!D19&lt;65,600000&lt;=試算シート!F19),AND(65&lt;=試算シート!D19,1250000&lt;=試算シート!F19)),"〇","×")</f>
        <v>×</v>
      </c>
      <c r="O15" s="31">
        <f>IF(試算シート!C19="〇",SUM(M6,IF(65&lt;=試算シート!D19,MAX(L15-150000,0),L15),試算シート!G19),0)</f>
        <v>0</v>
      </c>
    </row>
    <row r="16" spans="1:15" ht="36" hidden="1" thickBot="1" x14ac:dyDescent="0.75">
      <c r="A16" s="19" t="s">
        <v>23</v>
      </c>
      <c r="B16" s="25">
        <f>IF(AND(試算シート!D20&lt;65,試算シート!F20&lt;=1300000),MAX(試算シート!F20-600000,0),"0")</f>
        <v>0</v>
      </c>
      <c r="C16" s="26" t="str">
        <f>IF(AND(試算シート!D20&lt;65,1300001&lt;=試算シート!F20,試算シート!F20&lt;=4100000),試算シート!F20*0.75-275000,"0")</f>
        <v>0</v>
      </c>
      <c r="D16" s="26" t="str">
        <f>IF(AND(試算シート!D20&lt;65,4100001&lt;=試算シート!F20,試算シート!F20&lt;=7700000),試算シート!F20*0.85-685000,"0")</f>
        <v>0</v>
      </c>
      <c r="E16" s="26" t="str">
        <f>IF(AND(試算シート!D20&lt;65,7700001&lt;=試算シート!F20,試算シート!F20&lt;=10000000),試算シート!F20*0.95-1455000,"0")</f>
        <v>0</v>
      </c>
      <c r="F16" s="27" t="str">
        <f>IF(AND(試算シート!D20&lt;65,10000001&lt;=試算シート!F20),MAX(試算シート!F20-1955000,0),"0")</f>
        <v>0</v>
      </c>
      <c r="G16" s="28" t="str">
        <f>IF(AND(65&lt;=試算シート!D20,試算シート!F20&lt;=3300000),MAX(試算シート!F20-1100000,0),"0")</f>
        <v>0</v>
      </c>
      <c r="H16" s="26" t="str">
        <f>IF(AND(65&lt;=試算シート!D20,3300001&lt;=試算シート!F20,試算シート!F20&lt;=4100000),試算シート!F20*0.75-275000,"0")</f>
        <v>0</v>
      </c>
      <c r="I16" s="26" t="str">
        <f>IF(AND(65&lt;=試算シート!D20,4100001&lt;=試算シート!F20,試算シート!F20&lt;=7700000),試算シート!F20*0.85-685000,"0")</f>
        <v>0</v>
      </c>
      <c r="J16" s="26" t="str">
        <f>IF(AND(65&lt;=試算シート!D20,7700001&lt;=試算シート!F20,試算シート!F20&lt;=10000000),試算シート!F20*0.95-1455000,"0")</f>
        <v>0</v>
      </c>
      <c r="K16" s="27" t="str">
        <f>IF(AND(65&lt;=試算シート!D20,10000001&lt;=試算シート!F20),MAX(試算シート!F20-1955000,0),"0")</f>
        <v>0</v>
      </c>
      <c r="L16" s="29">
        <f t="shared" si="2"/>
        <v>0</v>
      </c>
      <c r="M16" s="17"/>
      <c r="N16" s="30" t="str">
        <f>IF(OR(550000&lt;=試算シート!E20,AND(試算シート!D20&lt;65,600000&lt;=試算シート!F20),AND(65&lt;=試算シート!D20,1250000&lt;=試算シート!F20)),"〇","×")</f>
        <v>×</v>
      </c>
      <c r="O16" s="31">
        <f>IF(試算シート!C20="〇",SUM(M7,IF(65&lt;=試算シート!D20,MAX(L16-150000,0),L16),試算シート!G20),0)</f>
        <v>0</v>
      </c>
    </row>
    <row r="17" spans="1:15" ht="36" hidden="1" thickBot="1" x14ac:dyDescent="0.75">
      <c r="A17" s="19" t="s">
        <v>24</v>
      </c>
      <c r="B17" s="32">
        <f>IF(AND(試算シート!D21&lt;65,試算シート!F21&lt;=1300000),MAX(試算シート!F21-600000,0),"0")</f>
        <v>0</v>
      </c>
      <c r="C17" s="33" t="str">
        <f>IF(AND(試算シート!D21&lt;65,1300001&lt;=試算シート!F21,試算シート!F21&lt;=4100000),試算シート!F21*0.75-275000,"0")</f>
        <v>0</v>
      </c>
      <c r="D17" s="33" t="str">
        <f>IF(AND(試算シート!D21&lt;65,4100001&lt;=試算シート!F21,試算シート!F21&lt;=7700000),試算シート!F21*0.85-685000,"0")</f>
        <v>0</v>
      </c>
      <c r="E17" s="33" t="str">
        <f>IF(AND(試算シート!D21&lt;65,7700001&lt;=試算シート!F21,試算シート!F21&lt;=10000000),試算シート!F21*0.95-1455000,"0")</f>
        <v>0</v>
      </c>
      <c r="F17" s="34" t="str">
        <f>IF(AND(試算シート!D21&lt;65,10000001&lt;=試算シート!F21),MAX(試算シート!F21-1955000,0),"0")</f>
        <v>0</v>
      </c>
      <c r="G17" s="35" t="str">
        <f>IF(AND(65&lt;=試算シート!D21,試算シート!F21&lt;=3300000),MAX(試算シート!F21-1100000,0),"0")</f>
        <v>0</v>
      </c>
      <c r="H17" s="33" t="str">
        <f>IF(AND(65&lt;=試算シート!D21,3300001&lt;=試算シート!F21,試算シート!F21&lt;=4100000),試算シート!F21*0.75-275000,"0")</f>
        <v>0</v>
      </c>
      <c r="I17" s="33" t="str">
        <f>IF(AND(65&lt;=試算シート!D21,4100001&lt;=試算シート!F21,試算シート!F21&lt;=7700000),試算シート!F21*0.85-685000,"0")</f>
        <v>0</v>
      </c>
      <c r="J17" s="33" t="str">
        <f>IF(AND(65&lt;=試算シート!D21,7700001&lt;=試算シート!F21,試算シート!F21&lt;=10000000),試算シート!F21*0.95-1455000,"0")</f>
        <v>0</v>
      </c>
      <c r="K17" s="34" t="str">
        <f>IF(AND(65&lt;=試算シート!D21,10000001&lt;=試算シート!F21),MAX(試算シート!F21-1955000,0),"0")</f>
        <v>0</v>
      </c>
      <c r="L17" s="29">
        <f t="shared" si="2"/>
        <v>0</v>
      </c>
      <c r="M17" s="17"/>
      <c r="N17" s="30" t="str">
        <f>IF(OR(550000&lt;=試算シート!E21,AND(試算シート!D21&lt;65,600000&lt;=試算シート!F21),AND(65&lt;=試算シート!D21,1250000&lt;=試算シート!F21)),"〇","×")</f>
        <v>×</v>
      </c>
      <c r="O17" s="31">
        <f>IF(試算シート!C21="〇",SUM(M8,IF(65&lt;=試算シート!D21,MAX(L17-150000,0),L17),試算シート!G21),0)</f>
        <v>0</v>
      </c>
    </row>
    <row r="18" spans="1:15" ht="36" hidden="1" thickBot="1" x14ac:dyDescent="0.45">
      <c r="A18" s="1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17"/>
      <c r="M18" s="17"/>
      <c r="O18" s="31">
        <f>SUM(O12:O17)</f>
        <v>0</v>
      </c>
    </row>
    <row r="25" spans="1:15" x14ac:dyDescent="0.4">
      <c r="B25" s="38"/>
      <c r="C25" s="38"/>
      <c r="D25" s="38"/>
      <c r="E25" s="38"/>
      <c r="F25" s="38"/>
      <c r="G25" s="38"/>
      <c r="H25" s="38"/>
      <c r="I25" s="38"/>
      <c r="J25" s="38"/>
      <c r="K25" s="38"/>
    </row>
  </sheetData>
  <sheetProtection sheet="1" objects="1" scenarios="1"/>
  <mergeCells count="8">
    <mergeCell ref="N10:N11"/>
    <mergeCell ref="O10:O11"/>
    <mergeCell ref="B1:K1"/>
    <mergeCell ref="L1:L2"/>
    <mergeCell ref="M1:M2"/>
    <mergeCell ref="B10:F10"/>
    <mergeCell ref="G10:K10"/>
    <mergeCell ref="L10:L11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8"/>
  <sheetViews>
    <sheetView topLeftCell="A29" zoomScale="50" zoomScaleNormal="50" workbookViewId="0">
      <selection activeCell="B46" sqref="B46"/>
    </sheetView>
  </sheetViews>
  <sheetFormatPr defaultRowHeight="18.75" x14ac:dyDescent="0.4"/>
  <cols>
    <col min="1" max="1" width="20.625" style="2" customWidth="1"/>
    <col min="2" max="15" width="22.625" style="2" customWidth="1"/>
    <col min="16" max="16" width="10.375" style="2" bestFit="1" customWidth="1"/>
    <col min="17" max="20" width="9" style="2"/>
    <col min="21" max="21" width="13.625" style="2" customWidth="1"/>
    <col min="22" max="16384" width="9" style="2"/>
  </cols>
  <sheetData>
    <row r="1" spans="1:29" s="40" customFormat="1" ht="71.25" hidden="1" thickBot="1" x14ac:dyDescent="0.75">
      <c r="A1" s="19" t="s">
        <v>39</v>
      </c>
      <c r="B1" s="18" t="s">
        <v>40</v>
      </c>
      <c r="C1" s="19" t="s">
        <v>41</v>
      </c>
      <c r="D1" s="19" t="s">
        <v>42</v>
      </c>
      <c r="E1" s="19" t="s">
        <v>43</v>
      </c>
      <c r="F1" s="19" t="s">
        <v>44</v>
      </c>
      <c r="G1" s="39"/>
      <c r="P1" s="88" t="str">
        <f>IF($C$2&lt;=0,"×",D2)</f>
        <v>×</v>
      </c>
      <c r="Q1" s="84" t="s">
        <v>72</v>
      </c>
      <c r="R1" s="86"/>
      <c r="S1" s="82"/>
      <c r="T1" s="82"/>
      <c r="U1" s="89"/>
      <c r="V1" s="82"/>
      <c r="W1" s="82"/>
      <c r="X1" s="91" t="str">
        <f>IF(P1="〇",Q1,"")</f>
        <v/>
      </c>
      <c r="Z1" s="82"/>
    </row>
    <row r="2" spans="1:29" s="40" customFormat="1" ht="36" hidden="1" thickBot="1" x14ac:dyDescent="0.75">
      <c r="A2" s="41" t="s">
        <v>45</v>
      </c>
      <c r="B2" s="42">
        <f>COUNTIF(所得計算!N12:N17,"〇")</f>
        <v>0</v>
      </c>
      <c r="C2" s="43">
        <f>COUNTIF(試算シート!C16:C21,"〇")</f>
        <v>0</v>
      </c>
      <c r="D2" s="43" t="str">
        <f>IF(所得計算!O18&lt;=430000+100000*MAX(保険料計算!B2-1,0),"〇","×")</f>
        <v>〇</v>
      </c>
      <c r="E2" s="43" t="str">
        <f>IF(AND(所得計算!O18&lt;=430000+305000*C2+100000*MAX(保険料計算!B2-1,0),D2="×"),"〇","×")</f>
        <v>×</v>
      </c>
      <c r="F2" s="44" t="str">
        <f>IF(AND(所得計算!O18&lt;=430000+560000*C2+100000*MAX(保険料計算!B2-1,0),D2="×",E2="×"),"〇","×")</f>
        <v>×</v>
      </c>
      <c r="G2" s="40" t="s">
        <v>46</v>
      </c>
      <c r="P2" s="88" t="str">
        <f>IF($C$2&lt;=0,"×",E2)</f>
        <v>×</v>
      </c>
      <c r="Q2" s="84" t="s">
        <v>73</v>
      </c>
      <c r="R2" s="87"/>
      <c r="S2" s="83"/>
      <c r="T2" s="83"/>
      <c r="U2" s="89"/>
      <c r="V2" s="83"/>
      <c r="W2" s="83"/>
      <c r="X2" s="91" t="str">
        <f>IF(P2="〇",Q2,"")</f>
        <v/>
      </c>
      <c r="Z2" s="83"/>
      <c r="AA2" s="83"/>
      <c r="AB2" s="83"/>
      <c r="AC2" s="83"/>
    </row>
    <row r="3" spans="1:29" s="40" customFormat="1" ht="36" hidden="1" customHeight="1" thickBot="1" x14ac:dyDescent="0.75">
      <c r="A3" s="45"/>
      <c r="P3" s="88" t="str">
        <f>IF($C$2&lt;=0,"×",F2)</f>
        <v>×</v>
      </c>
      <c r="Q3" s="84" t="s">
        <v>74</v>
      </c>
      <c r="R3" s="85"/>
      <c r="X3" s="91" t="str">
        <f>IF(P3="〇",Q3,"")</f>
        <v/>
      </c>
    </row>
    <row r="4" spans="1:29" ht="71.25" hidden="1" thickBot="1" x14ac:dyDescent="0.75">
      <c r="A4" s="19" t="s">
        <v>2</v>
      </c>
      <c r="B4" s="19" t="s">
        <v>3</v>
      </c>
      <c r="C4" s="19" t="s">
        <v>4</v>
      </c>
      <c r="D4" s="18" t="s">
        <v>47</v>
      </c>
      <c r="E4" s="18" t="s">
        <v>48</v>
      </c>
      <c r="F4" s="18" t="s">
        <v>49</v>
      </c>
      <c r="G4" s="18" t="s">
        <v>50</v>
      </c>
      <c r="H4" s="18" t="s">
        <v>51</v>
      </c>
      <c r="I4" s="18" t="s">
        <v>52</v>
      </c>
      <c r="J4" s="18" t="s">
        <v>53</v>
      </c>
      <c r="K4" s="18" t="s">
        <v>5</v>
      </c>
      <c r="L4" s="18" t="s">
        <v>54</v>
      </c>
      <c r="M4" s="18" t="s">
        <v>55</v>
      </c>
      <c r="N4" s="18" t="s">
        <v>56</v>
      </c>
      <c r="Y4" s="40"/>
    </row>
    <row r="5" spans="1:29" ht="36" hidden="1" thickBot="1" x14ac:dyDescent="0.45">
      <c r="A5" s="19" t="s">
        <v>1</v>
      </c>
      <c r="B5" s="46">
        <f>IF(試算シート!$C16="〇",試算シート!$K16*料率入力欄!$B$6,0)</f>
        <v>0</v>
      </c>
      <c r="C5" s="47">
        <f>IF(AND(試算シート!$C16="〇",$D$2="×",$E$2="×",$F$2="×",7&lt;=試算シート!$D16),料率入力欄!$C$6,0)</f>
        <v>0</v>
      </c>
      <c r="D5" s="48">
        <f>IF(AND(試算シート!$C16="〇",$D$2="〇",7&lt;=試算シート!$D16),料率入力欄!$C$6-料率入力欄!$J$5,0)</f>
        <v>0</v>
      </c>
      <c r="E5" s="48">
        <f>IF(AND(試算シート!$C16="〇",$E$2="〇",7&lt;=試算シート!$D16),料率入力欄!$C$6-料率入力欄!$J$4,0)</f>
        <v>0</v>
      </c>
      <c r="F5" s="49">
        <f>IF(AND(試算シート!$C16="〇",$F$2="〇",7&lt;=試算シート!$D16),料率入力欄!$C$6-料率入力欄!$J$3,0)</f>
        <v>0</v>
      </c>
      <c r="G5" s="47">
        <f>IF(AND(試算シート!$C16="〇",$D$2="×",$E$2="×",$F$2="×",試算シート!$D16&lt;=6),料率入力欄!$C$6-料率入力欄!$D$6,0)</f>
        <v>0</v>
      </c>
      <c r="H5" s="48">
        <f>IF(AND(試算シート!$C16="〇",$D$2="〇",試算シート!$D16&lt;=6),料率入力欄!$C$6-料率入力欄!$J$5-料率入力欄!$K$5,0)</f>
        <v>0</v>
      </c>
      <c r="I5" s="48">
        <f>IF(AND(試算シート!$C16="〇",$E$2="〇",試算シート!$D16&lt;=6),料率入力欄!$C$6-料率入力欄!$J$4-料率入力欄!$K$4,0)</f>
        <v>0</v>
      </c>
      <c r="J5" s="49">
        <f>IF(AND(試算シート!$C16="〇",$F$2="〇",試算シート!$D16&lt;=6),料率入力欄!$C$6-料率入力欄!$J$3-料率入力欄!$K$3,0)</f>
        <v>0</v>
      </c>
      <c r="K5" s="50">
        <f>IF(AND($D$2="×",$E$2="×",$F$2="×"),料率入力欄!$E$6,0)</f>
        <v>0</v>
      </c>
      <c r="L5" s="51">
        <f>IF(AND(OR(試算シート!C16="〇",試算シート!C17="〇",試算シート!C18="〇",試算シート!C19="〇",試算シート!C20="〇",試算シート!C21="〇",),D2="〇"),料率入力欄!$E$6-料率入力欄!$L$5,0)</f>
        <v>0</v>
      </c>
      <c r="M5" s="51">
        <f>IF(AND(OR(試算シート!C16="〇",試算シート!C17="〇",試算シート!C18="〇",試算シート!C19="〇",試算シート!C20="〇",試算シート!C21="〇",),E2="〇"),料率入力欄!$E$6-料率入力欄!$L$4,0)</f>
        <v>0</v>
      </c>
      <c r="N5" s="52">
        <f>IF(AND(OR(試算シート!C16="〇",試算シート!C17="〇",試算シート!C18="〇",試算シート!C19="〇",試算シート!C20="〇",試算シート!C21="〇",),F2="〇"),料率入力欄!$E$6-料率入力欄!$L$3,0)</f>
        <v>0</v>
      </c>
      <c r="P5" s="90"/>
    </row>
    <row r="6" spans="1:29" ht="36" hidden="1" thickBot="1" x14ac:dyDescent="0.45">
      <c r="A6" s="19" t="s">
        <v>20</v>
      </c>
      <c r="B6" s="46">
        <f>IF(試算シート!$C17="〇",試算シート!$K17*料率入力欄!$B$6,0)</f>
        <v>0</v>
      </c>
      <c r="C6" s="47">
        <f>IF(AND(試算シート!$C17="〇",$D$2="×",$E$2="×",$F$2="×",7&lt;=試算シート!$D17),料率入力欄!$C$6,0)</f>
        <v>0</v>
      </c>
      <c r="D6" s="48">
        <f>IF(AND(試算シート!$C17="〇",$D$2="〇",7&lt;=試算シート!$D17),料率入力欄!$C$6-料率入力欄!$J$5,0)</f>
        <v>0</v>
      </c>
      <c r="E6" s="48">
        <f>IF(AND(試算シート!$C17="〇",$E$2="〇",7&lt;=試算シート!$D17),料率入力欄!$C$6-料率入力欄!$J$4,0)</f>
        <v>0</v>
      </c>
      <c r="F6" s="49">
        <f>IF(AND(試算シート!$C17="〇",$F$2="〇",7&lt;=試算シート!$D17),料率入力欄!$C$6-料率入力欄!$J$3,0)</f>
        <v>0</v>
      </c>
      <c r="G6" s="47">
        <f>IF(AND(試算シート!$C17="〇",$D$2="×",$E$2="×",$F$2="×",試算シート!$D17&lt;=6),料率入力欄!$C$6-料率入力欄!$D$6,0)</f>
        <v>0</v>
      </c>
      <c r="H6" s="48">
        <f>IF(AND(試算シート!$C17="〇",$D$2="〇",試算シート!$D17&lt;=6),料率入力欄!$C$6-料率入力欄!$J$5-料率入力欄!$K$5,0)</f>
        <v>0</v>
      </c>
      <c r="I6" s="48">
        <f>IF(AND(試算シート!$C17="〇",$E$2="〇",試算シート!$D17&lt;=6),料率入力欄!$C$6-料率入力欄!$J$4-料率入力欄!$K$4,0)</f>
        <v>0</v>
      </c>
      <c r="J6" s="49">
        <f>IF(AND(試算シート!$C17="〇",$F$2="〇",試算シート!$D17&lt;=6),料率入力欄!$C$6-料率入力欄!$J$3-料率入力欄!$K$3,0)</f>
        <v>0</v>
      </c>
      <c r="K6" s="53"/>
      <c r="L6" s="53"/>
      <c r="M6" s="53"/>
      <c r="N6" s="53"/>
    </row>
    <row r="7" spans="1:29" ht="36" hidden="1" thickBot="1" x14ac:dyDescent="0.45">
      <c r="A7" s="19" t="s">
        <v>21</v>
      </c>
      <c r="B7" s="46">
        <f>IF(試算シート!$C18="〇",試算シート!$K18*料率入力欄!$B$6,0)</f>
        <v>0</v>
      </c>
      <c r="C7" s="47">
        <f>IF(AND(試算シート!$C18="〇",$D$2="×",$E$2="×",$F$2="×",7&lt;=試算シート!$D18),料率入力欄!$C$6,0)</f>
        <v>0</v>
      </c>
      <c r="D7" s="48">
        <f>IF(AND(試算シート!$C18="〇",$D$2="〇",7&lt;=試算シート!$D18),料率入力欄!$C$6-料率入力欄!$J$5,0)</f>
        <v>0</v>
      </c>
      <c r="E7" s="48">
        <f>IF(AND(試算シート!$C18="〇",$E$2="〇",7&lt;=試算シート!$D18),料率入力欄!$C$6-料率入力欄!$J$4,0)</f>
        <v>0</v>
      </c>
      <c r="F7" s="49">
        <f>IF(AND(試算シート!$C18="〇",$F$2="〇",7&lt;=試算シート!$D18),料率入力欄!$C$6-料率入力欄!$J$3,0)</f>
        <v>0</v>
      </c>
      <c r="G7" s="47">
        <f>IF(AND(試算シート!$C18="〇",$D$2="×",$E$2="×",$F$2="×",試算シート!$D18&lt;=6),料率入力欄!$C$6-料率入力欄!$D$6,0)</f>
        <v>0</v>
      </c>
      <c r="H7" s="48">
        <f>IF(AND(試算シート!$C18="〇",$D$2="〇",試算シート!$D18&lt;=6),料率入力欄!$C$6-料率入力欄!$J$5-料率入力欄!$K$5,0)</f>
        <v>0</v>
      </c>
      <c r="I7" s="48">
        <f>IF(AND(試算シート!$C18="〇",$E$2="〇",試算シート!$D18&lt;=6),料率入力欄!$C$6-料率入力欄!$J$4-料率入力欄!$K$4,0)</f>
        <v>0</v>
      </c>
      <c r="J7" s="49">
        <f>IF(AND(試算シート!$C18="〇",$F$2="〇",試算シート!$D18&lt;=6),料率入力欄!$C$6-料率入力欄!$J$3-料率入力欄!$K$3,0)</f>
        <v>0</v>
      </c>
      <c r="K7" s="53"/>
      <c r="L7" s="53"/>
      <c r="M7" s="53"/>
      <c r="N7" s="53"/>
    </row>
    <row r="8" spans="1:29" ht="36" hidden="1" thickBot="1" x14ac:dyDescent="0.45">
      <c r="A8" s="19" t="s">
        <v>22</v>
      </c>
      <c r="B8" s="46">
        <f>IF(試算シート!$C19="〇",試算シート!$K19*料率入力欄!$B$6,0)</f>
        <v>0</v>
      </c>
      <c r="C8" s="47">
        <f>IF(AND(試算シート!$C19="〇",$D$2="×",$E$2="×",$F$2="×",7&lt;=試算シート!$D19),料率入力欄!$C$6,0)</f>
        <v>0</v>
      </c>
      <c r="D8" s="48">
        <f>IF(AND(試算シート!$C19="〇",$D$2="〇",7&lt;=試算シート!$D19),料率入力欄!$C$6-料率入力欄!$J$5,0)</f>
        <v>0</v>
      </c>
      <c r="E8" s="48">
        <f>IF(AND(試算シート!$C19="〇",$E$2="〇",7&lt;=試算シート!$D19),料率入力欄!$C$6-料率入力欄!$J$4,0)</f>
        <v>0</v>
      </c>
      <c r="F8" s="49">
        <f>IF(AND(試算シート!$C19="〇",$F$2="〇",7&lt;=試算シート!$D19),料率入力欄!$C$6-料率入力欄!$J$3,0)</f>
        <v>0</v>
      </c>
      <c r="G8" s="47">
        <f>IF(AND(試算シート!$C19="〇",$D$2="×",$E$2="×",$F$2="×",試算シート!$D19&lt;=6),料率入力欄!$C$6-料率入力欄!$D$6,0)</f>
        <v>0</v>
      </c>
      <c r="H8" s="48">
        <f>IF(AND(試算シート!$C19="〇",$D$2="〇",試算シート!$D19&lt;=6),料率入力欄!$C$6-料率入力欄!$J$5-料率入力欄!$K$5,0)</f>
        <v>0</v>
      </c>
      <c r="I8" s="48">
        <f>IF(AND(試算シート!$C19="〇",$E$2="〇",試算シート!$D19&lt;=6),料率入力欄!$C$6-料率入力欄!$J$4-料率入力欄!$K$4,0)</f>
        <v>0</v>
      </c>
      <c r="J8" s="49">
        <f>IF(AND(試算シート!$C19="〇",$F$2="〇",試算シート!$D19&lt;=6),料率入力欄!$C$6-料率入力欄!$J$3-料率入力欄!$K$3,0)</f>
        <v>0</v>
      </c>
      <c r="K8" s="53"/>
      <c r="L8" s="53"/>
      <c r="M8" s="53"/>
      <c r="N8" s="53"/>
    </row>
    <row r="9" spans="1:29" ht="36" hidden="1" thickBot="1" x14ac:dyDescent="0.45">
      <c r="A9" s="19" t="s">
        <v>23</v>
      </c>
      <c r="B9" s="46">
        <f>IF(試算シート!$C20="〇",試算シート!$K20*料率入力欄!$B$6,0)</f>
        <v>0</v>
      </c>
      <c r="C9" s="47">
        <f>IF(AND(試算シート!$C20="〇",$D$2="×",$E$2="×",$F$2="×",7&lt;=試算シート!$D20),料率入力欄!$C$6,0)</f>
        <v>0</v>
      </c>
      <c r="D9" s="48">
        <f>IF(AND(試算シート!$C20="〇",$D$2="〇",7&lt;=試算シート!$D20),料率入力欄!$C$6-料率入力欄!$J$5,0)</f>
        <v>0</v>
      </c>
      <c r="E9" s="48">
        <f>IF(AND(試算シート!$C20="〇",$E$2="〇",7&lt;=試算シート!$D20),料率入力欄!$C$6-料率入力欄!$J$4,0)</f>
        <v>0</v>
      </c>
      <c r="F9" s="49">
        <f>IF(AND(試算シート!$C20="〇",$F$2="〇",7&lt;=試算シート!$D20),料率入力欄!$C$6-料率入力欄!$J$3,0)</f>
        <v>0</v>
      </c>
      <c r="G9" s="47">
        <f>IF(AND(試算シート!$C20="〇",$D$2="×",$E$2="×",$F$2="×",試算シート!$D20&lt;=6),料率入力欄!$C$6-料率入力欄!$D$6,0)</f>
        <v>0</v>
      </c>
      <c r="H9" s="48">
        <f>IF(AND(試算シート!$C20="〇",$D$2="〇",試算シート!$D20&lt;=6),料率入力欄!$C$6-料率入力欄!$J$5-料率入力欄!$K$5,0)</f>
        <v>0</v>
      </c>
      <c r="I9" s="48">
        <f>IF(AND(試算シート!$C20="〇",$E$2="〇",試算シート!$D20&lt;=6),料率入力欄!$C$6-料率入力欄!$J$4-料率入力欄!$K$4,0)</f>
        <v>0</v>
      </c>
      <c r="J9" s="49">
        <f>IF(AND(試算シート!$C20="〇",$F$2="〇",試算シート!$D20&lt;=6),料率入力欄!$C$6-料率入力欄!$J$3-料率入力欄!$K$3,0)</f>
        <v>0</v>
      </c>
      <c r="K9" s="53"/>
      <c r="L9" s="53"/>
      <c r="M9" s="53"/>
      <c r="N9" s="53"/>
    </row>
    <row r="10" spans="1:29" ht="36" hidden="1" thickBot="1" x14ac:dyDescent="0.45">
      <c r="A10" s="19" t="s">
        <v>24</v>
      </c>
      <c r="B10" s="70">
        <f>IF(試算シート!$C21="〇",試算シート!$K21*料率入力欄!$B$6,0)</f>
        <v>0</v>
      </c>
      <c r="C10" s="50">
        <f>IF(AND(試算シート!$C21="〇",$D$2="×",$E$2="×",$F$2="×",7&lt;=試算シート!$D21),料率入力欄!$C$6,0)</f>
        <v>0</v>
      </c>
      <c r="D10" s="51">
        <f>IF(AND(試算シート!$C21="〇",$D$2="〇",7&lt;=試算シート!$D21),料率入力欄!$C$6-料率入力欄!$J$5,0)</f>
        <v>0</v>
      </c>
      <c r="E10" s="51">
        <f>IF(AND(試算シート!$C21="〇",$E$2="〇",7&lt;=試算シート!$D21),料率入力欄!$C$6-料率入力欄!$J$4,0)</f>
        <v>0</v>
      </c>
      <c r="F10" s="52">
        <f>IF(AND(試算シート!$C21="〇",$F$2="〇",7&lt;=試算シート!$D21),料率入力欄!$C$6-料率入力欄!$J$3,0)</f>
        <v>0</v>
      </c>
      <c r="G10" s="50">
        <f>IF(AND(試算シート!$C21="〇",$D$2="×",$E$2="×",$F$2="×",試算シート!$D21&lt;=6),料率入力欄!$C$6-料率入力欄!$D$6,0)</f>
        <v>0</v>
      </c>
      <c r="H10" s="51">
        <f>IF(AND(試算シート!$C21="〇",$D$2="〇",試算シート!$D21&lt;=6),料率入力欄!$C$6-料率入力欄!$J$5-料率入力欄!$K$5,0)</f>
        <v>0</v>
      </c>
      <c r="I10" s="51">
        <f>IF(AND(試算シート!$C21="〇",$E$2="〇",試算シート!$D21&lt;=6),料率入力欄!$C$6-料率入力欄!$J$4-料率入力欄!$K$4,0)</f>
        <v>0</v>
      </c>
      <c r="J10" s="52">
        <f>IF(AND(試算シート!$C21="〇",$F$2="〇",試算シート!$D21&lt;=6),料率入力欄!$C$6-料率入力欄!$J$3-料率入力欄!$K$3,0)</f>
        <v>0</v>
      </c>
      <c r="K10" s="53"/>
      <c r="L10" s="53"/>
      <c r="M10" s="53"/>
      <c r="N10" s="53"/>
    </row>
    <row r="11" spans="1:29" ht="19.5" hidden="1" thickBot="1" x14ac:dyDescent="0.45"/>
    <row r="12" spans="1:29" ht="71.25" hidden="1" thickBot="1" x14ac:dyDescent="0.45">
      <c r="A12" s="19" t="s">
        <v>57</v>
      </c>
      <c r="B12" s="19" t="s">
        <v>3</v>
      </c>
      <c r="C12" s="19" t="s">
        <v>4</v>
      </c>
      <c r="D12" s="18" t="s">
        <v>47</v>
      </c>
      <c r="E12" s="18" t="s">
        <v>48</v>
      </c>
      <c r="F12" s="18" t="s">
        <v>49</v>
      </c>
      <c r="G12" s="18" t="s">
        <v>50</v>
      </c>
      <c r="H12" s="18" t="s">
        <v>51</v>
      </c>
      <c r="I12" s="18" t="s">
        <v>52</v>
      </c>
      <c r="J12" s="18" t="s">
        <v>53</v>
      </c>
      <c r="K12" s="18" t="s">
        <v>5</v>
      </c>
      <c r="L12" s="18" t="s">
        <v>54</v>
      </c>
      <c r="M12" s="18" t="s">
        <v>55</v>
      </c>
      <c r="N12" s="18" t="s">
        <v>56</v>
      </c>
    </row>
    <row r="13" spans="1:29" ht="36" hidden="1" thickBot="1" x14ac:dyDescent="0.45">
      <c r="A13" s="19" t="s">
        <v>1</v>
      </c>
      <c r="B13" s="71">
        <f>IF(試算シート!$C16="〇",試算シート!$K16*料率入力欄!$B$7,0)</f>
        <v>0</v>
      </c>
      <c r="C13" s="72">
        <f>IF(AND(試算シート!$C16="〇",$D$2="×",$E$2="×",$F$2="×",7&lt;=試算シート!$D16),料率入力欄!$C$7,0)</f>
        <v>0</v>
      </c>
      <c r="D13" s="73">
        <f>IF(AND(試算シート!$C16="〇",$D$2="〇",7&lt;=試算シート!$D16),料率入力欄!$C$7-料率入力欄!$J$8,0)</f>
        <v>0</v>
      </c>
      <c r="E13" s="73">
        <f>IF(AND(試算シート!$C16="〇",$E$2="〇",7&lt;=試算シート!$D16),料率入力欄!$C$7-料率入力欄!J$7,0)</f>
        <v>0</v>
      </c>
      <c r="F13" s="74">
        <f>IF(AND(試算シート!$C16="〇",$F$2="〇",7&lt;=試算シート!$D16),料率入力欄!$C$7-料率入力欄!$J$6,0)</f>
        <v>0</v>
      </c>
      <c r="G13" s="72">
        <f>IF(AND(試算シート!$C16="〇",$D$2="×",$E$2="×",$F$2="×",試算シート!$D16&lt;=6), 料率入力欄!$C$7-料率入力欄!$D$7,0)</f>
        <v>0</v>
      </c>
      <c r="H13" s="73">
        <f>IF(AND(試算シート!$C16="〇",$D$2="〇",試算シート!$D16&lt;=6),料率入力欄!$C$7-料率入力欄!$J$8-料率入力欄!$K$8,0)</f>
        <v>0</v>
      </c>
      <c r="I13" s="73">
        <f>IF(AND(試算シート!$C16="〇",$E$2="〇",試算シート!$D16&lt;=6),料率入力欄!$C$7-料率入力欄!$J$7-料率入力欄!$K$7,0)</f>
        <v>0</v>
      </c>
      <c r="J13" s="74">
        <f>IF(AND(試算シート!$C16="〇",$F$2="〇",試算シート!$D16&lt;=6),料率入力欄!$C$7-料率入力欄!$J$6-料率入力欄!$K$6,0)</f>
        <v>0</v>
      </c>
      <c r="K13" s="76">
        <f>IF(AND($D$2="×",$E$2="×",$F$2="×"),料率入力欄!$E$7,0)</f>
        <v>0</v>
      </c>
      <c r="L13" s="77">
        <f>IF(AND(OR(試算シート!C16="〇",試算シート!C17="〇",試算シート!C18="〇",試算シート!C19="〇",試算シート!C20="〇",試算シート!C21="〇",),D2="〇"),料率入力欄!$E$7-料率入力欄!$L$8,0)</f>
        <v>0</v>
      </c>
      <c r="M13" s="77">
        <f>IF(AND(OR(試算シート!C16="〇",試算シート!C17="〇",試算シート!C18="〇",試算シート!C19="〇",試算シート!C20="〇",試算シート!C21="〇",),E2="〇"),料率入力欄!$E$7-料率入力欄!$L$7,0)</f>
        <v>0</v>
      </c>
      <c r="N13" s="78">
        <f>IF(AND(OR(試算シート!C16="〇",試算シート!C17="〇",試算シート!C18="〇",試算シート!C19="〇",試算シート!C20="〇",試算シート!C21="〇",),F2="〇"),料率入力欄!$E$7-料率入力欄!$L$6,0)</f>
        <v>0</v>
      </c>
    </row>
    <row r="14" spans="1:29" ht="36" hidden="1" thickBot="1" x14ac:dyDescent="0.45">
      <c r="A14" s="19" t="s">
        <v>20</v>
      </c>
      <c r="B14" s="71">
        <f>IF(試算シート!$C17="〇",試算シート!$K17*料率入力欄!$B$7,0)</f>
        <v>0</v>
      </c>
      <c r="C14" s="72">
        <f>IF(AND(試算シート!$C17="〇",$D$2="×",$E$2="×",$F$2="×",7&lt;=試算シート!$D17),料率入力欄!$C$7,0)</f>
        <v>0</v>
      </c>
      <c r="D14" s="73">
        <f>IF(AND(試算シート!$C17="〇",$D$2="〇",7&lt;=試算シート!$D17),料率入力欄!$C$7-料率入力欄!$J$8,0)</f>
        <v>0</v>
      </c>
      <c r="E14" s="73">
        <f>IF(AND(試算シート!$C17="〇",$E$2="〇",7&lt;=試算シート!$D17),料率入力欄!$C$7-料率入力欄!J$7,0)</f>
        <v>0</v>
      </c>
      <c r="F14" s="74">
        <f>IF(AND(試算シート!$C17="〇",$F$2="〇",7&lt;=試算シート!$D17),料率入力欄!$C$7-料率入力欄!$J$6,0)</f>
        <v>0</v>
      </c>
      <c r="G14" s="72">
        <f>IF(AND(試算シート!$C17="〇",$D$2="×",$E$2="×",$F$2="×",試算シート!$D17&lt;=6), 料率入力欄!$C$7-料率入力欄!$D$7,0)</f>
        <v>0</v>
      </c>
      <c r="H14" s="73">
        <f>IF(AND(試算シート!$C17="〇",$D$2="〇",試算シート!$D17&lt;=6),料率入力欄!$C$7-料率入力欄!$J$8-料率入力欄!$K$8,0)</f>
        <v>0</v>
      </c>
      <c r="I14" s="73">
        <f>IF(AND(試算シート!$C17="〇",$E$2="〇",試算シート!$D17&lt;=6),料率入力欄!$C$7-料率入力欄!$J$7-料率入力欄!$K$7,0)</f>
        <v>0</v>
      </c>
      <c r="J14" s="74">
        <f>IF(AND(試算シート!$C17="〇",$F$2="〇",試算シート!$D17&lt;=6),料率入力欄!$C$7-料率入力欄!$J$6-料率入力欄!$K$6,0)</f>
        <v>0</v>
      </c>
      <c r="K14" s="53"/>
      <c r="L14" s="53"/>
      <c r="M14" s="53"/>
      <c r="N14" s="53"/>
    </row>
    <row r="15" spans="1:29" ht="36" hidden="1" thickBot="1" x14ac:dyDescent="0.45">
      <c r="A15" s="19" t="s">
        <v>21</v>
      </c>
      <c r="B15" s="71">
        <f>IF(試算シート!$C18="〇",試算シート!$K18*料率入力欄!$B$7,0)</f>
        <v>0</v>
      </c>
      <c r="C15" s="72">
        <f>IF(AND(試算シート!$C18="〇",$D$2="×",$E$2="×",$F$2="×",7&lt;=試算シート!$D18),料率入力欄!$C$7,0)</f>
        <v>0</v>
      </c>
      <c r="D15" s="73">
        <f>IF(AND(試算シート!$C18="〇",$D$2="〇",7&lt;=試算シート!$D18),料率入力欄!$C$7-料率入力欄!$J$8,0)</f>
        <v>0</v>
      </c>
      <c r="E15" s="73">
        <f>IF(AND(試算シート!$C18="〇",$E$2="〇",7&lt;=試算シート!$D18),料率入力欄!$C$7-料率入力欄!J$7,0)</f>
        <v>0</v>
      </c>
      <c r="F15" s="74">
        <f>IF(AND(試算シート!$C18="〇",$F$2="〇",7&lt;=試算シート!$D18),料率入力欄!$C$7-料率入力欄!$J$6,0)</f>
        <v>0</v>
      </c>
      <c r="G15" s="72">
        <f>IF(AND(試算シート!$C18="〇",$D$2="×",$E$2="×",$F$2="×",試算シート!$D18&lt;=6), 料率入力欄!$C$7-料率入力欄!$D$7,0)</f>
        <v>0</v>
      </c>
      <c r="H15" s="73">
        <f>IF(AND(試算シート!$C18="〇",$D$2="〇",試算シート!$D18&lt;=6),料率入力欄!$C$7-料率入力欄!$J$8-料率入力欄!$K$8,0)</f>
        <v>0</v>
      </c>
      <c r="I15" s="73">
        <f>IF(AND(試算シート!$C18="〇",$E$2="〇",試算シート!$D18&lt;=6),料率入力欄!$C$7-料率入力欄!$J$7-料率入力欄!$K$7,0)</f>
        <v>0</v>
      </c>
      <c r="J15" s="74">
        <f>IF(AND(試算シート!$C18="〇",$F$2="〇",試算シート!$D18&lt;=6),料率入力欄!$C$7-料率入力欄!$J$6-料率入力欄!$K$6,0)</f>
        <v>0</v>
      </c>
      <c r="K15" s="53"/>
      <c r="L15" s="53"/>
      <c r="M15" s="53"/>
      <c r="N15" s="53"/>
    </row>
    <row r="16" spans="1:29" ht="36" hidden="1" thickBot="1" x14ac:dyDescent="0.45">
      <c r="A16" s="19" t="s">
        <v>22</v>
      </c>
      <c r="B16" s="71">
        <f>IF(試算シート!$C19="〇",試算シート!$K19*料率入力欄!$B$7,0)</f>
        <v>0</v>
      </c>
      <c r="C16" s="72">
        <f>IF(AND(試算シート!$C19="〇",$D$2="×",$E$2="×",$F$2="×",7&lt;=試算シート!$D19),料率入力欄!$C$7,0)</f>
        <v>0</v>
      </c>
      <c r="D16" s="73">
        <f>IF(AND(試算シート!$C19="〇",$D$2="〇",7&lt;=試算シート!$D19),料率入力欄!$C$7-料率入力欄!$J$8,0)</f>
        <v>0</v>
      </c>
      <c r="E16" s="73">
        <f>IF(AND(試算シート!$C19="〇",$E$2="〇",7&lt;=試算シート!$D19),料率入力欄!$C$7-料率入力欄!J$7,0)</f>
        <v>0</v>
      </c>
      <c r="F16" s="74">
        <f>IF(AND(試算シート!$C19="〇",$F$2="〇",7&lt;=試算シート!$D19),料率入力欄!$C$7-料率入力欄!$J$6,0)</f>
        <v>0</v>
      </c>
      <c r="G16" s="72">
        <f>IF(AND(試算シート!$C19="〇",$D$2="×",$E$2="×",$F$2="×",試算シート!$D19&lt;=6), 料率入力欄!$C$7-料率入力欄!$D$7,0)</f>
        <v>0</v>
      </c>
      <c r="H16" s="73">
        <f>IF(AND(試算シート!$C19="〇",$D$2="〇",試算シート!$D19&lt;=6),料率入力欄!$C$7-料率入力欄!$J$8-料率入力欄!$K$8,0)</f>
        <v>0</v>
      </c>
      <c r="I16" s="73">
        <f>IF(AND(試算シート!$C19="〇",$E$2="〇",試算シート!$D19&lt;=6),料率入力欄!$C$7-料率入力欄!$J$7-料率入力欄!$K$7,0)</f>
        <v>0</v>
      </c>
      <c r="J16" s="74">
        <f>IF(AND(試算シート!$C19="〇",$F$2="〇",試算シート!$D19&lt;=6),料率入力欄!$C$7-料率入力欄!$J$6-料率入力欄!$K$6,0)</f>
        <v>0</v>
      </c>
      <c r="K16" s="53"/>
      <c r="L16" s="53"/>
      <c r="M16" s="53"/>
      <c r="N16" s="53"/>
    </row>
    <row r="17" spans="1:14" ht="36" hidden="1" thickBot="1" x14ac:dyDescent="0.45">
      <c r="A17" s="19" t="s">
        <v>23</v>
      </c>
      <c r="B17" s="71">
        <f>IF(試算シート!$C20="〇",試算シート!$K20*料率入力欄!$B$7,0)</f>
        <v>0</v>
      </c>
      <c r="C17" s="72">
        <f>IF(AND(試算シート!$C20="〇",$D$2="×",$E$2="×",$F$2="×",7&lt;=試算シート!$D20),料率入力欄!$C$7,0)</f>
        <v>0</v>
      </c>
      <c r="D17" s="73">
        <f>IF(AND(試算シート!$C20="〇",$D$2="〇",7&lt;=試算シート!$D20),料率入力欄!$C$7-料率入力欄!$J$8,0)</f>
        <v>0</v>
      </c>
      <c r="E17" s="73">
        <f>IF(AND(試算シート!$C20="〇",$E$2="〇",7&lt;=試算シート!$D20),料率入力欄!$C$7-料率入力欄!J$7,0)</f>
        <v>0</v>
      </c>
      <c r="F17" s="74">
        <f>IF(AND(試算シート!$C20="〇",$F$2="〇",7&lt;=試算シート!$D20),料率入力欄!$C$7-料率入力欄!$J$6,0)</f>
        <v>0</v>
      </c>
      <c r="G17" s="72">
        <f>IF(AND(試算シート!$C20="〇",$D$2="×",$E$2="×",$F$2="×",試算シート!$D20&lt;=6), 料率入力欄!$C$7-料率入力欄!$D$7,0)</f>
        <v>0</v>
      </c>
      <c r="H17" s="73">
        <f>IF(AND(試算シート!$C20="〇",$D$2="〇",試算シート!$D20&lt;=6),料率入力欄!$C$7-料率入力欄!$J$8-料率入力欄!$K$8,0)</f>
        <v>0</v>
      </c>
      <c r="I17" s="73">
        <f>IF(AND(試算シート!$C20="〇",$E$2="〇",試算シート!$D20&lt;=6),料率入力欄!$C$7-料率入力欄!$J$7-料率入力欄!$K$7,0)</f>
        <v>0</v>
      </c>
      <c r="J17" s="74">
        <f>IF(AND(試算シート!$C20="〇",$F$2="〇",試算シート!$D20&lt;=6),料率入力欄!$C$7-料率入力欄!$J$6-料率入力欄!$K$6,0)</f>
        <v>0</v>
      </c>
      <c r="K17" s="53"/>
      <c r="L17" s="53"/>
      <c r="M17" s="53"/>
      <c r="N17" s="53"/>
    </row>
    <row r="18" spans="1:14" ht="36" hidden="1" thickBot="1" x14ac:dyDescent="0.45">
      <c r="A18" s="19" t="s">
        <v>24</v>
      </c>
      <c r="B18" s="75">
        <f>IF(試算シート!$C21="〇",試算シート!$K21*料率入力欄!$B$7,0)</f>
        <v>0</v>
      </c>
      <c r="C18" s="76">
        <f>IF(AND(試算シート!$C21="〇",$D$2="×",$E$2="×",$F$2="×",7&lt;=試算シート!$D21),料率入力欄!$C$7,0)</f>
        <v>0</v>
      </c>
      <c r="D18" s="77">
        <f>IF(AND(試算シート!$C21="〇",$D$2="〇",7&lt;=試算シート!$D21),料率入力欄!$C$7-料率入力欄!$J$8,0)</f>
        <v>0</v>
      </c>
      <c r="E18" s="77">
        <f>IF(AND(試算シート!$C21="〇",$E$2="〇",7&lt;=試算シート!$D21),料率入力欄!$C$7-料率入力欄!J$7,0)</f>
        <v>0</v>
      </c>
      <c r="F18" s="78">
        <f>IF(AND(試算シート!$C21="〇",$F$2="〇",7&lt;=試算シート!$D21),料率入力欄!$C$7-料率入力欄!$J$6,0)</f>
        <v>0</v>
      </c>
      <c r="G18" s="76">
        <f>IF(AND(試算シート!$C21="〇",$D$2="×",$E$2="×",$F$2="×",試算シート!$D21&lt;=6), 料率入力欄!$C$7-料率入力欄!$D$7,0)</f>
        <v>0</v>
      </c>
      <c r="H18" s="77">
        <f>IF(AND(試算シート!$C21="〇",$D$2="〇",試算シート!$D21&lt;=6),料率入力欄!$C$7-料率入力欄!$J$8-料率入力欄!$K$8,0)</f>
        <v>0</v>
      </c>
      <c r="I18" s="77">
        <f>IF(AND(試算シート!$C21="〇",$E$2="〇",試算シート!$D21&lt;=6),料率入力欄!$C$7-料率入力欄!$J$7-料率入力欄!$K$7,0)</f>
        <v>0</v>
      </c>
      <c r="J18" s="78">
        <f>IF(AND(試算シート!$C21="〇",$F$2="〇",試算シート!$D21&lt;=6),料率入力欄!$C$7-料率入力欄!$J$6-料率入力欄!$K$6,0)</f>
        <v>0</v>
      </c>
      <c r="K18" s="53"/>
      <c r="L18" s="53"/>
      <c r="M18" s="53"/>
      <c r="N18" s="53"/>
    </row>
    <row r="19" spans="1:14" ht="19.5" hidden="1" thickBot="1" x14ac:dyDescent="0.45"/>
    <row r="20" spans="1:14" ht="71.25" hidden="1" thickBot="1" x14ac:dyDescent="0.45">
      <c r="A20" s="19" t="s">
        <v>58</v>
      </c>
      <c r="B20" s="19" t="s">
        <v>3</v>
      </c>
      <c r="C20" s="19" t="s">
        <v>4</v>
      </c>
      <c r="D20" s="18" t="s">
        <v>47</v>
      </c>
      <c r="E20" s="18" t="s">
        <v>48</v>
      </c>
      <c r="F20" s="18" t="s">
        <v>49</v>
      </c>
      <c r="G20" s="18" t="s">
        <v>5</v>
      </c>
      <c r="H20" s="18" t="s">
        <v>54</v>
      </c>
      <c r="I20" s="18" t="s">
        <v>55</v>
      </c>
      <c r="J20" s="18" t="s">
        <v>56</v>
      </c>
    </row>
    <row r="21" spans="1:14" ht="36" hidden="1" thickBot="1" x14ac:dyDescent="0.45">
      <c r="A21" s="19" t="s">
        <v>1</v>
      </c>
      <c r="B21" s="71">
        <f>IF(AND(試算シート!$C16="〇",40&lt;=試算シート!$D16,試算シート!$D16&lt;65),試算シート!$K16*料率入力欄!$B$8,0)</f>
        <v>0</v>
      </c>
      <c r="C21" s="73">
        <f>IF(AND(試算シート!$C16="〇",$D$2="×",$E$2="×",$F$2="×",40&lt;=試算シート!$D16,試算シート!$D16&lt;65),料率入力欄!$C$8,0)</f>
        <v>0</v>
      </c>
      <c r="D21" s="73">
        <f>IF(AND(試算シート!$C16="〇",$D$2="〇",40&lt;=試算シート!$D16,試算シート!$D16&lt;65),料率入力欄!$C$8-料率入力欄!$J$11,0)</f>
        <v>0</v>
      </c>
      <c r="E21" s="73">
        <f>IF(AND(試算シート!$C16="〇",$E$2="〇",40&lt;=試算シート!$D16,試算シート!$D16&lt;65),料率入力欄!$C$8-料率入力欄!$J$10,0)</f>
        <v>0</v>
      </c>
      <c r="F21" s="74">
        <f>IF(AND(試算シート!$C16="〇",$F$2="〇",40&lt;=試算シート!$D16,試算シート!$D16&lt;65),料率入力欄!$C$8-料率入力欄!$J$9,0)</f>
        <v>0</v>
      </c>
      <c r="G21" s="72">
        <f>IF(AND(試算シート!$C16="〇",$D$2="×",$E$2="×",$F$2="×",40&lt;=試算シート!$D16,試算シート!$D16&lt;65),料率入力欄!$E$8,0)</f>
        <v>0</v>
      </c>
      <c r="H21" s="73">
        <f>IF(AND(試算シート!$C16="〇",$D$2="〇",40&lt;=試算シート!$D16,試算シート!$D16&lt;65),料率入力欄!$E$8-料率入力欄!$L$11,0)</f>
        <v>0</v>
      </c>
      <c r="I21" s="73">
        <f>IF(AND(試算シート!$C16="〇",$E$2="〇",40&lt;=試算シート!$D16,試算シート!$D16&lt;65),料率入力欄!$E$8-料率入力欄!$L$10,0)</f>
        <v>0</v>
      </c>
      <c r="J21" s="74">
        <f>IF(AND(試算シート!$C16="〇",$F$2="〇",40&lt;=試算シート!$D16,試算シート!$D16&lt;65),料率入力欄!$E$8-料率入力欄!$L$9,0)</f>
        <v>0</v>
      </c>
    </row>
    <row r="22" spans="1:14" ht="36" hidden="1" thickBot="1" x14ac:dyDescent="0.45">
      <c r="A22" s="19" t="s">
        <v>20</v>
      </c>
      <c r="B22" s="71">
        <f>IF(AND(試算シート!$C17="〇",40&lt;=試算シート!$D17,試算シート!$D17&lt;65),試算シート!$K17*料率入力欄!$B$8,0)</f>
        <v>0</v>
      </c>
      <c r="C22" s="73">
        <f>IF(AND(試算シート!$C17="〇",$D$2="×",$E$2="×",$F$2="×",40&lt;=試算シート!$D17,試算シート!$D17&lt;65),料率入力欄!$C$8,0)</f>
        <v>0</v>
      </c>
      <c r="D22" s="73">
        <f>IF(AND(試算シート!$C17="〇",$D$2="〇",40&lt;=試算シート!$D17,試算シート!$D17&lt;65),料率入力欄!$C$8-料率入力欄!$J$11,0)</f>
        <v>0</v>
      </c>
      <c r="E22" s="73">
        <f>IF(AND(試算シート!$C17="〇",$E$2="〇",40&lt;=試算シート!$D17,試算シート!$D17&lt;65),料率入力欄!$C$8-料率入力欄!$J$10,0)</f>
        <v>0</v>
      </c>
      <c r="F22" s="74">
        <f>IF(AND(試算シート!$C17="〇",$F$2="〇",40&lt;=試算シート!$D17,試算シート!$D17&lt;65),料率入力欄!$C$8-料率入力欄!$J$9,0)</f>
        <v>0</v>
      </c>
      <c r="G22" s="72">
        <f>IF(AND(試算シート!$C17="〇",$D$2="×",$E$2="×",$F$2="×",40&lt;=試算シート!$D17,試算シート!$D17&lt;65),料率入力欄!$E$8,0)</f>
        <v>0</v>
      </c>
      <c r="H22" s="73">
        <f>IF(AND(試算シート!$C17="〇",$D$2="〇",40&lt;=試算シート!$D17,試算シート!$D17&lt;65),料率入力欄!$E$8-料率入力欄!$L$11,0)</f>
        <v>0</v>
      </c>
      <c r="I22" s="73">
        <f>IF(AND(試算シート!$C17="〇",$E$2="〇",40&lt;=試算シート!$D17,試算シート!$D17&lt;65),料率入力欄!$E$8-料率入力欄!$L$10,0)</f>
        <v>0</v>
      </c>
      <c r="J22" s="74">
        <f>IF(AND(試算シート!$C17="〇",$F$2="〇",40&lt;=試算シート!$D17,試算シート!$D17&lt;65),料率入力欄!$E$8-料率入力欄!$L$9,0)</f>
        <v>0</v>
      </c>
    </row>
    <row r="23" spans="1:14" ht="36" hidden="1" thickBot="1" x14ac:dyDescent="0.45">
      <c r="A23" s="19" t="s">
        <v>21</v>
      </c>
      <c r="B23" s="71">
        <f>IF(AND(試算シート!$C18="〇",40&lt;=試算シート!$D18,試算シート!$D18&lt;65),試算シート!$K18*料率入力欄!$B$8,0)</f>
        <v>0</v>
      </c>
      <c r="C23" s="73">
        <f>IF(AND(試算シート!$C18="〇",$D$2="×",$E$2="×",$F$2="×",40&lt;=試算シート!$D18,試算シート!$D18&lt;65),料率入力欄!$C$8,0)</f>
        <v>0</v>
      </c>
      <c r="D23" s="73">
        <f>IF(AND(試算シート!$C18="〇",$D$2="〇",40&lt;=試算シート!$D18,試算シート!$D18&lt;65),料率入力欄!$C$8-料率入力欄!$J$11,0)</f>
        <v>0</v>
      </c>
      <c r="E23" s="73">
        <f>IF(AND(試算シート!$C18="〇",$E$2="〇",40&lt;=試算シート!$D18,試算シート!$D18&lt;65),料率入力欄!$C$8-料率入力欄!$J$10,0)</f>
        <v>0</v>
      </c>
      <c r="F23" s="74">
        <f>IF(AND(試算シート!$C18="〇",$F$2="〇",40&lt;=試算シート!$D18,試算シート!$D18&lt;65),料率入力欄!$C$8-料率入力欄!$J$9,0)</f>
        <v>0</v>
      </c>
      <c r="G23" s="72">
        <f>IF(AND(試算シート!$C18="〇",$D$2="×",$E$2="×",$F$2="×",40&lt;=試算シート!$D18,試算シート!$D18&lt;65),料率入力欄!$E$8,0)</f>
        <v>0</v>
      </c>
      <c r="H23" s="73">
        <f>IF(AND(試算シート!$C18="〇",$D$2="〇",40&lt;=試算シート!$D18,試算シート!$D18&lt;65),料率入力欄!$E$8-料率入力欄!$L$11,0)</f>
        <v>0</v>
      </c>
      <c r="I23" s="73">
        <f>IF(AND(試算シート!$C18="〇",$E$2="〇",40&lt;=試算シート!$D18,試算シート!$D18&lt;65),料率入力欄!$E$8-料率入力欄!$L$10,0)</f>
        <v>0</v>
      </c>
      <c r="J23" s="74">
        <f>IF(AND(試算シート!$C18="〇",$F$2="〇",40&lt;=試算シート!$D18,試算シート!$D18&lt;65),料率入力欄!$E$8-料率入力欄!$L$9,0)</f>
        <v>0</v>
      </c>
    </row>
    <row r="24" spans="1:14" ht="36" hidden="1" thickBot="1" x14ac:dyDescent="0.45">
      <c r="A24" s="19" t="s">
        <v>22</v>
      </c>
      <c r="B24" s="71">
        <f>IF(AND(試算シート!$C19="〇",40&lt;=試算シート!$D19,試算シート!$D19&lt;65),試算シート!$K19*料率入力欄!$B$8,0)</f>
        <v>0</v>
      </c>
      <c r="C24" s="73">
        <f>IF(AND(試算シート!$C19="〇",$D$2="×",$E$2="×",$F$2="×",40&lt;=試算シート!$D19,試算シート!$D19&lt;65),料率入力欄!$C$8,0)</f>
        <v>0</v>
      </c>
      <c r="D24" s="73">
        <f>IF(AND(試算シート!$C19="〇",$D$2="〇",40&lt;=試算シート!$D19,試算シート!$D19&lt;65),料率入力欄!$C$8-料率入力欄!$J$11,0)</f>
        <v>0</v>
      </c>
      <c r="E24" s="73">
        <f>IF(AND(試算シート!$C19="〇",$E$2="〇",40&lt;=試算シート!$D19,試算シート!$D19&lt;65),料率入力欄!$C$8-料率入力欄!$J$10,0)</f>
        <v>0</v>
      </c>
      <c r="F24" s="74">
        <f>IF(AND(試算シート!$C19="〇",$F$2="〇",40&lt;=試算シート!$D19,試算シート!$D19&lt;65),料率入力欄!$C$8-料率入力欄!$J$9,0)</f>
        <v>0</v>
      </c>
      <c r="G24" s="72">
        <f>IF(AND(試算シート!$C19="〇",$D$2="×",$E$2="×",$F$2="×",40&lt;=試算シート!$D19,試算シート!$D19&lt;65),料率入力欄!$E$8,0)</f>
        <v>0</v>
      </c>
      <c r="H24" s="73">
        <f>IF(AND(試算シート!$C19="〇",$D$2="〇",40&lt;=試算シート!$D19,試算シート!$D19&lt;65),料率入力欄!$E$8-料率入力欄!$L$11,0)</f>
        <v>0</v>
      </c>
      <c r="I24" s="73">
        <f>IF(AND(試算シート!$C19="〇",$E$2="〇",40&lt;=試算シート!$D19,試算シート!$D19&lt;65),料率入力欄!$E$8-料率入力欄!$L$10,0)</f>
        <v>0</v>
      </c>
      <c r="J24" s="74">
        <f>IF(AND(試算シート!$C19="〇",$F$2="〇",40&lt;=試算シート!$D19,試算シート!$D19&lt;65),料率入力欄!$E$8-料率入力欄!$L$9,0)</f>
        <v>0</v>
      </c>
    </row>
    <row r="25" spans="1:14" ht="36" hidden="1" thickBot="1" x14ac:dyDescent="0.45">
      <c r="A25" s="19" t="s">
        <v>23</v>
      </c>
      <c r="B25" s="71">
        <f>IF(AND(試算シート!$C20="〇",40&lt;=試算シート!$D20,試算シート!$D20&lt;65),試算シート!$K20*料率入力欄!$B$8,0)</f>
        <v>0</v>
      </c>
      <c r="C25" s="73">
        <f>IF(AND(試算シート!$C20="〇",$D$2="×",$E$2="×",$F$2="×",40&lt;=試算シート!$D20,試算シート!$D20&lt;65),料率入力欄!$C$8,0)</f>
        <v>0</v>
      </c>
      <c r="D25" s="73">
        <f>IF(AND(試算シート!$C20="〇",$D$2="〇",40&lt;=試算シート!$D20,試算シート!$D20&lt;65),料率入力欄!$C$8-料率入力欄!$J$11,0)</f>
        <v>0</v>
      </c>
      <c r="E25" s="73">
        <f>IF(AND(試算シート!$C20="〇",$E$2="〇",40&lt;=試算シート!$D20,試算シート!$D20&lt;65),料率入力欄!$C$8-料率入力欄!$J$10,0)</f>
        <v>0</v>
      </c>
      <c r="F25" s="74">
        <f>IF(AND(試算シート!$C20="〇",$F$2="〇",40&lt;=試算シート!$D20,試算シート!$D20&lt;65),料率入力欄!$C$8-料率入力欄!$J$9,0)</f>
        <v>0</v>
      </c>
      <c r="G25" s="72">
        <f>IF(AND(試算シート!$C20="〇",$D$2="×",$E$2="×",$F$2="×",40&lt;=試算シート!$D20,試算シート!$D20&lt;65),料率入力欄!$E$8,0)</f>
        <v>0</v>
      </c>
      <c r="H25" s="73">
        <f>IF(AND(試算シート!$C20="〇",$D$2="〇",40&lt;=試算シート!$D20,試算シート!$D20&lt;65),料率入力欄!$E$8-料率入力欄!$L$11,0)</f>
        <v>0</v>
      </c>
      <c r="I25" s="73">
        <f>IF(AND(試算シート!$C20="〇",$E$2="〇",40&lt;=試算シート!$D20,試算シート!$D20&lt;65),料率入力欄!$E$8-料率入力欄!$L$10,0)</f>
        <v>0</v>
      </c>
      <c r="J25" s="74">
        <f>IF(AND(試算シート!$C20="〇",$F$2="〇",40&lt;=試算シート!$D20,試算シート!$D20&lt;65),料率入力欄!$E$8-料率入力欄!$L$9,0)</f>
        <v>0</v>
      </c>
    </row>
    <row r="26" spans="1:14" ht="36" hidden="1" thickBot="1" x14ac:dyDescent="0.45">
      <c r="A26" s="19" t="s">
        <v>24</v>
      </c>
      <c r="B26" s="75">
        <f>IF(AND(試算シート!$C21="〇",40&lt;=試算シート!$D21,試算シート!$D21&lt;65),試算シート!$K21*料率入力欄!$B$8,0)</f>
        <v>0</v>
      </c>
      <c r="C26" s="77">
        <f>IF(AND(試算シート!$C21="〇",$D$2="×",$E$2="×",$F$2="×",40&lt;=試算シート!$D21,試算シート!$D21&lt;65),料率入力欄!$C$8,0)</f>
        <v>0</v>
      </c>
      <c r="D26" s="77">
        <f>IF(AND(試算シート!$C21="〇",$D$2="〇",40&lt;=試算シート!$D21,試算シート!$D21&lt;65),料率入力欄!$C$8-料率入力欄!$J$11,0)</f>
        <v>0</v>
      </c>
      <c r="E26" s="77">
        <f>IF(AND(試算シート!$C21="〇",$E$2="〇",40&lt;=試算シート!$D21,試算シート!$D21&lt;65),料率入力欄!$C$8-料率入力欄!$J$10,0)</f>
        <v>0</v>
      </c>
      <c r="F26" s="78">
        <f>IF(AND(試算シート!$C21="〇",$F$2="〇",40&lt;=試算シート!$D21,試算シート!$D21&lt;65),料率入力欄!$C$8-料率入力欄!$J$9,0)</f>
        <v>0</v>
      </c>
      <c r="G26" s="76">
        <f>IF(AND(試算シート!$C21="〇",$D$2="×",$E$2="×",$F$2="×",40&lt;=試算シート!$D21,試算シート!$D21&lt;65),料率入力欄!$E$8,0)</f>
        <v>0</v>
      </c>
      <c r="H26" s="77">
        <f>IF(AND(試算シート!$C21="〇",$D$2="〇",40&lt;=試算シート!$D21,試算シート!$D21&lt;65),料率入力欄!$E$8-料率入力欄!$L$11,0)</f>
        <v>0</v>
      </c>
      <c r="I26" s="77">
        <f>IF(AND(試算シート!$C21="〇",$E$2="〇",40&lt;=試算シート!$D21,試算シート!$D21&lt;65),料率入力欄!$E$8-料率入力欄!$L$10,0)</f>
        <v>0</v>
      </c>
      <c r="J26" s="78">
        <f>IF(AND(試算シート!$C21="〇",$F$2="〇",40&lt;=試算シート!$D21,試算シート!$D21&lt;65),料率入力欄!$E$8-料率入力欄!$L$9,0)</f>
        <v>0</v>
      </c>
    </row>
    <row r="27" spans="1:14" ht="19.5" hidden="1" thickBot="1" x14ac:dyDescent="0.45"/>
    <row r="28" spans="1:14" ht="36" hidden="1" thickBot="1" x14ac:dyDescent="0.75">
      <c r="G28" s="79">
        <f>IF(OR(G$21=料率入力欄!E8,G$22=料率入力欄!E8,G$23=料率入力欄!E8,G$24=料率入力欄!E8,G$25=料率入力欄!E8,G$26=料率入力欄!E8),料率入力欄!E8,0)</f>
        <v>0</v>
      </c>
      <c r="H28" s="80">
        <f>IF(OR(H$21=料率入力欄!E8-料率入力欄!L11,H$22=料率入力欄!E8-料率入力欄!L11,H$23=料率入力欄!E8-料率入力欄!L11,H$24=料率入力欄!E8-料率入力欄!L11,H$25=料率入力欄!E8-料率入力欄!L11,H$26=料率入力欄!E8-料率入力欄!L11),料率入力欄!E8-料率入力欄!L11,0)</f>
        <v>0</v>
      </c>
      <c r="I28" s="80">
        <f>IF(OR(I$21=料率入力欄!E8-料率入力欄!L10,I$22=料率入力欄!E8-料率入力欄!L10,I$23=料率入力欄!E8-料率入力欄!L10,I$24=料率入力欄!E8-料率入力欄!L10,I$25=料率入力欄!E8-料率入力欄!L10,I$26=料率入力欄!E8-料率入力欄!L10),料率入力欄!E8-料率入力欄!L10,0)</f>
        <v>0</v>
      </c>
      <c r="J28" s="81">
        <f>IF(OR(J$21=料率入力欄!E8-料率入力欄!L9,J$22=料率入力欄!E8-料率入力欄!L9,J$23=料率入力欄!E8-料率入力欄!L9,J$24=料率入力欄!E8-料率入力欄!L9,J$25=料率入力欄!E8-料率入力欄!L9,J$26=料率入力欄!E8-料率入力欄!L9),料率入力欄!E8-料率入力欄!L9,0)</f>
        <v>0</v>
      </c>
    </row>
  </sheetData>
  <sheetProtection sheet="1" objects="1" scenarios="1"/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opLeftCell="A25" zoomScale="60" zoomScaleNormal="60" workbookViewId="0">
      <selection activeCell="B46" sqref="B46"/>
    </sheetView>
  </sheetViews>
  <sheetFormatPr defaultRowHeight="18.75" x14ac:dyDescent="0.4"/>
  <cols>
    <col min="1" max="1" width="11.375" style="2" bestFit="1" customWidth="1"/>
    <col min="2" max="2" width="14" style="2" bestFit="1" customWidth="1"/>
    <col min="3" max="4" width="16.75" style="2" bestFit="1" customWidth="1"/>
    <col min="5" max="5" width="17" style="2" bestFit="1" customWidth="1"/>
    <col min="6" max="6" width="20.125" style="2" bestFit="1" customWidth="1"/>
    <col min="7" max="7" width="9" style="2"/>
    <col min="8" max="8" width="9" style="2" customWidth="1"/>
    <col min="9" max="9" width="14" style="2" bestFit="1" customWidth="1"/>
    <col min="10" max="10" width="23" style="2" bestFit="1" customWidth="1"/>
    <col min="11" max="11" width="16.75" style="2" bestFit="1" customWidth="1"/>
    <col min="12" max="12" width="19.375" style="2" bestFit="1" customWidth="1"/>
    <col min="13" max="16384" width="9" style="2"/>
  </cols>
  <sheetData>
    <row r="1" spans="1:12" ht="24" hidden="1" x14ac:dyDescent="0.5">
      <c r="A1" s="54"/>
      <c r="B1" s="54"/>
      <c r="C1" s="54"/>
      <c r="D1" s="54"/>
      <c r="E1" s="54"/>
      <c r="F1" s="54"/>
      <c r="G1" s="54"/>
    </row>
    <row r="2" spans="1:12" s="38" customFormat="1" ht="24" hidden="1" x14ac:dyDescent="0.4">
      <c r="G2" s="55"/>
      <c r="H2" s="56" t="s">
        <v>59</v>
      </c>
      <c r="I2" s="56" t="s">
        <v>60</v>
      </c>
      <c r="J2" s="56" t="s">
        <v>61</v>
      </c>
      <c r="K2" s="56" t="s">
        <v>62</v>
      </c>
      <c r="L2" s="56" t="s">
        <v>63</v>
      </c>
    </row>
    <row r="3" spans="1:12" ht="33" hidden="1" x14ac:dyDescent="0.65">
      <c r="G3" s="54"/>
      <c r="H3" s="181" t="s">
        <v>64</v>
      </c>
      <c r="I3" s="57">
        <v>2</v>
      </c>
      <c r="J3" s="58">
        <v>6885</v>
      </c>
      <c r="K3" s="58">
        <v>13770</v>
      </c>
      <c r="L3" s="58">
        <v>6715</v>
      </c>
    </row>
    <row r="4" spans="1:12" ht="33" hidden="1" x14ac:dyDescent="0.65">
      <c r="G4" s="54"/>
      <c r="H4" s="181"/>
      <c r="I4" s="57">
        <v>5</v>
      </c>
      <c r="J4" s="59">
        <v>17212</v>
      </c>
      <c r="K4" s="58">
        <v>8606</v>
      </c>
      <c r="L4" s="58">
        <v>16787</v>
      </c>
    </row>
    <row r="5" spans="1:12" ht="48" hidden="1" x14ac:dyDescent="0.65">
      <c r="A5" s="60" t="s">
        <v>65</v>
      </c>
      <c r="B5" s="56" t="s">
        <v>66</v>
      </c>
      <c r="C5" s="56" t="s">
        <v>67</v>
      </c>
      <c r="D5" s="56" t="s">
        <v>62</v>
      </c>
      <c r="E5" s="56" t="s">
        <v>68</v>
      </c>
      <c r="F5" s="56" t="s">
        <v>69</v>
      </c>
      <c r="G5" s="54"/>
      <c r="H5" s="181"/>
      <c r="I5" s="57">
        <v>7</v>
      </c>
      <c r="J5" s="58">
        <v>24097</v>
      </c>
      <c r="K5" s="58">
        <v>5164</v>
      </c>
      <c r="L5" s="58">
        <v>23502</v>
      </c>
    </row>
    <row r="6" spans="1:12" ht="33" hidden="1" x14ac:dyDescent="0.65">
      <c r="A6" s="56" t="s">
        <v>64</v>
      </c>
      <c r="B6" s="61">
        <v>9.2999999999999999E-2</v>
      </c>
      <c r="C6" s="62">
        <v>34424</v>
      </c>
      <c r="D6" s="62">
        <v>17212</v>
      </c>
      <c r="E6" s="62">
        <v>33574</v>
      </c>
      <c r="F6" s="62">
        <v>650000</v>
      </c>
      <c r="G6" s="54"/>
      <c r="H6" s="181" t="s">
        <v>70</v>
      </c>
      <c r="I6" s="57">
        <v>2</v>
      </c>
      <c r="J6" s="58">
        <v>2207</v>
      </c>
      <c r="K6" s="58">
        <v>4414</v>
      </c>
      <c r="L6" s="58">
        <v>2153</v>
      </c>
    </row>
    <row r="7" spans="1:12" ht="33" hidden="1" x14ac:dyDescent="0.65">
      <c r="A7" s="56" t="s">
        <v>70</v>
      </c>
      <c r="B7" s="61">
        <v>3.0200000000000001E-2</v>
      </c>
      <c r="C7" s="62">
        <v>11034</v>
      </c>
      <c r="D7" s="62">
        <v>5517</v>
      </c>
      <c r="E7" s="62">
        <v>10761</v>
      </c>
      <c r="F7" s="62">
        <v>240000</v>
      </c>
      <c r="G7" s="54"/>
      <c r="H7" s="181"/>
      <c r="I7" s="57">
        <v>5</v>
      </c>
      <c r="J7" s="58">
        <v>5517</v>
      </c>
      <c r="K7" s="58">
        <v>2759</v>
      </c>
      <c r="L7" s="58">
        <v>5381</v>
      </c>
    </row>
    <row r="8" spans="1:12" ht="33" hidden="1" x14ac:dyDescent="0.65">
      <c r="A8" s="56" t="s">
        <v>71</v>
      </c>
      <c r="B8" s="61">
        <v>2.5600000000000001E-2</v>
      </c>
      <c r="C8" s="62">
        <v>18784</v>
      </c>
      <c r="D8" s="63"/>
      <c r="E8" s="62">
        <v>0</v>
      </c>
      <c r="F8" s="62">
        <v>170000</v>
      </c>
      <c r="G8" s="54"/>
      <c r="H8" s="181"/>
      <c r="I8" s="57">
        <v>7</v>
      </c>
      <c r="J8" s="58">
        <v>7724</v>
      </c>
      <c r="K8" s="58">
        <v>1655</v>
      </c>
      <c r="L8" s="58">
        <v>7533</v>
      </c>
    </row>
    <row r="9" spans="1:12" ht="33" hidden="1" x14ac:dyDescent="0.65">
      <c r="G9" s="54"/>
      <c r="H9" s="181" t="s">
        <v>71</v>
      </c>
      <c r="I9" s="57">
        <v>2</v>
      </c>
      <c r="J9" s="58">
        <v>3757</v>
      </c>
      <c r="K9" s="64"/>
      <c r="L9" s="58">
        <v>0</v>
      </c>
    </row>
    <row r="10" spans="1:12" ht="33" hidden="1" x14ac:dyDescent="0.65">
      <c r="G10" s="54"/>
      <c r="H10" s="181"/>
      <c r="I10" s="57">
        <v>5</v>
      </c>
      <c r="J10" s="58">
        <v>9392</v>
      </c>
      <c r="K10" s="64"/>
      <c r="L10" s="58">
        <v>0</v>
      </c>
    </row>
    <row r="11" spans="1:12" ht="33" hidden="1" x14ac:dyDescent="0.65">
      <c r="F11" s="65"/>
      <c r="G11" s="54"/>
      <c r="H11" s="181"/>
      <c r="I11" s="57">
        <v>7</v>
      </c>
      <c r="J11" s="58">
        <v>13149</v>
      </c>
      <c r="K11" s="64"/>
      <c r="L11" s="58">
        <v>0</v>
      </c>
    </row>
    <row r="12" spans="1:12" ht="24" hidden="1" x14ac:dyDescent="0.5">
      <c r="F12" s="65"/>
      <c r="G12" s="54"/>
    </row>
    <row r="13" spans="1:12" ht="24" hidden="1" x14ac:dyDescent="0.5">
      <c r="F13" s="65"/>
      <c r="G13" s="54"/>
    </row>
    <row r="14" spans="1:12" s="54" customFormat="1" ht="24" hidden="1" x14ac:dyDescent="0.5">
      <c r="A14" s="66"/>
      <c r="F14" s="67"/>
      <c r="J14" s="54">
        <f>C6*0.2</f>
        <v>6884.8</v>
      </c>
      <c r="K14" s="54">
        <f>(C6-J3)/2</f>
        <v>13769.5</v>
      </c>
      <c r="L14" s="54">
        <f>E6*0.2</f>
        <v>6714.8</v>
      </c>
    </row>
    <row r="15" spans="1:12" s="54" customFormat="1" ht="24" hidden="1" x14ac:dyDescent="0.5">
      <c r="A15" s="66"/>
      <c r="F15" s="67"/>
      <c r="J15" s="54">
        <f>C6*0.5</f>
        <v>17212</v>
      </c>
      <c r="K15" s="54">
        <f>(C6-J4)/2</f>
        <v>8606</v>
      </c>
      <c r="L15" s="54">
        <f>E6*0.5</f>
        <v>16787</v>
      </c>
    </row>
    <row r="16" spans="1:12" s="54" customFormat="1" ht="24" hidden="1" x14ac:dyDescent="0.5">
      <c r="A16" s="66"/>
      <c r="F16" s="67"/>
      <c r="J16" s="54">
        <f>C6*0.7</f>
        <v>24096.799999999999</v>
      </c>
      <c r="K16" s="54">
        <f>(C6-J5)/2</f>
        <v>5163.5</v>
      </c>
      <c r="L16" s="54">
        <f>E6*0.7</f>
        <v>23501.8</v>
      </c>
    </row>
    <row r="17" spans="1:12" s="54" customFormat="1" ht="24" hidden="1" x14ac:dyDescent="0.5">
      <c r="A17" s="66"/>
      <c r="J17" s="54">
        <f>C7*0.2</f>
        <v>2206.8000000000002</v>
      </c>
      <c r="K17" s="54">
        <f>(C7-J6)/2</f>
        <v>4413.5</v>
      </c>
      <c r="L17" s="54">
        <f>E7*0.2</f>
        <v>2152.2000000000003</v>
      </c>
    </row>
    <row r="18" spans="1:12" s="54" customFormat="1" ht="24" hidden="1" x14ac:dyDescent="0.5">
      <c r="A18" s="66"/>
      <c r="J18" s="54">
        <f>C7*0.5</f>
        <v>5517</v>
      </c>
      <c r="K18" s="54">
        <f>(C7-J7)/2</f>
        <v>2758.5</v>
      </c>
      <c r="L18" s="54">
        <f>E7*0.5</f>
        <v>5380.5</v>
      </c>
    </row>
    <row r="19" spans="1:12" s="54" customFormat="1" ht="24" hidden="1" x14ac:dyDescent="0.5">
      <c r="A19" s="66"/>
      <c r="J19" s="54">
        <f>C7*0.7</f>
        <v>7723.7999999999993</v>
      </c>
      <c r="K19" s="54">
        <f>(C7-J8)/2</f>
        <v>1655</v>
      </c>
      <c r="L19" s="54">
        <f>E7*0.7</f>
        <v>7532.7</v>
      </c>
    </row>
    <row r="20" spans="1:12" ht="18.75" hidden="1" customHeight="1" x14ac:dyDescent="0.4">
      <c r="J20" s="2">
        <f>C8*0.2</f>
        <v>3756.8</v>
      </c>
    </row>
    <row r="21" spans="1:12" ht="18.75" hidden="1" customHeight="1" x14ac:dyDescent="0.4">
      <c r="J21" s="2">
        <f>C8*0.5</f>
        <v>9392</v>
      </c>
    </row>
    <row r="22" spans="1:12" hidden="1" x14ac:dyDescent="0.4">
      <c r="J22" s="2">
        <f>C8*0.7</f>
        <v>13148.8</v>
      </c>
    </row>
    <row r="23" spans="1:12" hidden="1" x14ac:dyDescent="0.4"/>
    <row r="24" spans="1:12" hidden="1" x14ac:dyDescent="0.4">
      <c r="J24" s="2" t="s">
        <v>121</v>
      </c>
      <c r="K24" s="2" t="s">
        <v>122</v>
      </c>
      <c r="L24" s="2" t="s">
        <v>121</v>
      </c>
    </row>
  </sheetData>
  <sheetProtection sheet="1" objects="1" scenarios="1"/>
  <mergeCells count="3">
    <mergeCell ref="H3:H5"/>
    <mergeCell ref="H6:H8"/>
    <mergeCell ref="H9:H11"/>
  </mergeCells>
  <phoneticPr fontId="2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試算シート</vt:lpstr>
      <vt:lpstr>所得計算</vt:lpstr>
      <vt:lpstr>保険料計算</vt:lpstr>
      <vt:lpstr>料率入力欄</vt:lpstr>
    </vt:vector>
  </TitlesOfParts>
  <Company>四條畷市役所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u5020</dc:creator>
  <cp:lastModifiedBy>ミヤモト　スズネ</cp:lastModifiedBy>
  <cp:lastPrinted>2025-03-16T05:59:06Z</cp:lastPrinted>
  <dcterms:created xsi:type="dcterms:W3CDTF">2024-04-15T23:22:59Z</dcterms:created>
  <dcterms:modified xsi:type="dcterms:W3CDTF">2025-04-21T00:39:41Z</dcterms:modified>
</cp:coreProperties>
</file>